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" yWindow="555" windowWidth="10920" windowHeight="11160" tabRatio="922"/>
  </bookViews>
  <sheets>
    <sheet name="шк3" sheetId="11" r:id="rId1"/>
  </sheets>
  <definedNames>
    <definedName name="_xlnm._FilterDatabase" localSheetId="0" hidden="1">шк3!$A$2:$K$108</definedName>
    <definedName name="_xlnm.Print_Area" localSheetId="0">шк3!$A$1:$K$107</definedName>
  </definedNames>
  <calcPr calcId="145621"/>
</workbook>
</file>

<file path=xl/calcChain.xml><?xml version="1.0" encoding="utf-8"?>
<calcChain xmlns="http://schemas.openxmlformats.org/spreadsheetml/2006/main">
  <c r="K8" i="11" l="1"/>
  <c r="K3" i="11"/>
  <c r="K11" i="11" l="1"/>
  <c r="N75" i="11" s="1"/>
  <c r="O75" i="11" s="1"/>
  <c r="K57" i="11"/>
  <c r="N77" i="11" s="1"/>
  <c r="O77" i="11" s="1"/>
  <c r="K106" i="11" l="1"/>
  <c r="K105" i="11"/>
  <c r="K104" i="11"/>
  <c r="K103" i="11"/>
  <c r="K63" i="11" l="1"/>
  <c r="K62" i="11"/>
  <c r="B65" i="11" l="1"/>
  <c r="B64" i="11"/>
  <c r="K56" i="11" l="1"/>
  <c r="K4" i="11"/>
  <c r="K98" i="11" l="1"/>
  <c r="K71" i="11" l="1"/>
  <c r="K72" i="11" s="1"/>
  <c r="K69" i="11"/>
  <c r="K100" i="11"/>
  <c r="K7" i="11"/>
  <c r="K12" i="11"/>
  <c r="N76" i="11" s="1"/>
  <c r="O76" i="11" s="1"/>
  <c r="K5" i="11" l="1"/>
  <c r="K61" i="11"/>
  <c r="K45" i="11"/>
  <c r="K38" i="11"/>
  <c r="B29" i="11"/>
  <c r="B27" i="11"/>
  <c r="B26" i="11"/>
  <c r="B28" i="11"/>
  <c r="B25" i="11"/>
  <c r="B49" i="11"/>
  <c r="B21" i="11"/>
  <c r="K35" i="11"/>
  <c r="K33" i="11"/>
  <c r="K18" i="11"/>
  <c r="K13" i="11"/>
  <c r="K10" i="11"/>
  <c r="K19" i="11" l="1"/>
  <c r="K15" i="11"/>
  <c r="K40" i="11"/>
  <c r="K37" i="11"/>
  <c r="B37" i="11"/>
  <c r="B17" i="11"/>
  <c r="K14" i="11"/>
  <c r="K9" i="11" l="1"/>
  <c r="B99" i="11" l="1"/>
  <c r="K89" i="11" l="1"/>
  <c r="B96" i="11" l="1"/>
  <c r="B95" i="11"/>
  <c r="B104" i="11" l="1"/>
  <c r="B103" i="11"/>
  <c r="B94" i="11" l="1"/>
  <c r="B93" i="11"/>
  <c r="B92" i="11"/>
  <c r="B91" i="11"/>
  <c r="B90" i="11"/>
  <c r="B89" i="11"/>
  <c r="B72" i="11"/>
  <c r="B71" i="11"/>
  <c r="B70" i="11"/>
  <c r="K70" i="11"/>
  <c r="B69" i="11"/>
  <c r="B68" i="11"/>
  <c r="B67" i="11"/>
  <c r="B66" i="11"/>
  <c r="B63" i="11"/>
  <c r="B62" i="11"/>
  <c r="B106" i="11" l="1"/>
  <c r="B105" i="11"/>
  <c r="B102" i="11"/>
  <c r="K58" i="11" l="1"/>
  <c r="N78" i="11" s="1"/>
  <c r="O78" i="11" s="1"/>
  <c r="B43" i="11" l="1"/>
  <c r="K39" i="11"/>
  <c r="B24" i="11" l="1"/>
  <c r="B23" i="11"/>
  <c r="B48" i="11"/>
  <c r="B34" i="11"/>
  <c r="B22" i="11"/>
  <c r="B46" i="11"/>
  <c r="K60" i="11" l="1"/>
  <c r="K16" i="11" l="1"/>
  <c r="K36" i="11"/>
  <c r="B101" i="11" l="1"/>
  <c r="B84" i="11" l="1"/>
  <c r="B83" i="11"/>
  <c r="B82" i="11"/>
  <c r="B81" i="11"/>
  <c r="B78" i="11"/>
  <c r="B77" i="11"/>
  <c r="B76" i="11"/>
  <c r="B75" i="11"/>
  <c r="B80" i="11" l="1"/>
  <c r="B79" i="11"/>
  <c r="B74" i="11"/>
  <c r="B73" i="11"/>
  <c r="B19" i="11" l="1"/>
  <c r="B18" i="11" l="1"/>
  <c r="K30" i="11" l="1"/>
  <c r="B100" i="11" l="1"/>
  <c r="K97" i="11" l="1"/>
  <c r="B58" i="11" l="1"/>
  <c r="B57" i="11"/>
  <c r="B20" i="11" l="1"/>
  <c r="B16" i="11"/>
  <c r="B55" i="11"/>
  <c r="B32" i="11"/>
  <c r="K44" i="11" l="1"/>
  <c r="K31" i="11" l="1"/>
  <c r="B12" i="11"/>
  <c r="B88" i="11" l="1"/>
  <c r="B87" i="11"/>
  <c r="B7" i="11" l="1"/>
  <c r="B98" i="11" l="1"/>
  <c r="B97" i="11"/>
  <c r="B86" i="11"/>
  <c r="B85" i="11"/>
  <c r="B61" i="11"/>
  <c r="B60" i="11"/>
  <c r="B59" i="11"/>
  <c r="B56" i="11"/>
  <c r="B54" i="11"/>
  <c r="B53" i="11"/>
  <c r="B52" i="11"/>
  <c r="B51" i="11"/>
  <c r="B50" i="11"/>
  <c r="B47" i="11"/>
  <c r="B45" i="11"/>
  <c r="B44" i="11"/>
  <c r="B42" i="11"/>
  <c r="B41" i="11"/>
  <c r="B40" i="11"/>
  <c r="B39" i="11"/>
  <c r="B38" i="11"/>
  <c r="B36" i="11"/>
  <c r="B35" i="11"/>
  <c r="B33" i="11"/>
  <c r="B31" i="11"/>
  <c r="B30" i="11"/>
  <c r="B15" i="11"/>
  <c r="B14" i="11"/>
  <c r="B13" i="11"/>
  <c r="B11" i="11"/>
  <c r="B10" i="11"/>
  <c r="B9" i="11"/>
  <c r="B8" i="11"/>
  <c r="B6" i="11"/>
  <c r="B5" i="11"/>
  <c r="B4" i="11"/>
  <c r="B3" i="11"/>
  <c r="K107" i="11" l="1"/>
</calcChain>
</file>

<file path=xl/sharedStrings.xml><?xml version="1.0" encoding="utf-8"?>
<sst xmlns="http://schemas.openxmlformats.org/spreadsheetml/2006/main" count="549" uniqueCount="114">
  <si>
    <t>611</t>
  </si>
  <si>
    <t>Код цели</t>
  </si>
  <si>
    <t>КВР</t>
  </si>
  <si>
    <t>РзПР</t>
  </si>
  <si>
    <t>КЦСР</t>
  </si>
  <si>
    <t>ГРБС</t>
  </si>
  <si>
    <t>КВР в 737</t>
  </si>
  <si>
    <t>КОСГУ</t>
  </si>
  <si>
    <t>Содержание</t>
  </si>
  <si>
    <t>Сумма</t>
  </si>
  <si>
    <t>Вид финансового обеспечения (деятельности)</t>
  </si>
  <si>
    <t>Льготный проезд</t>
  </si>
  <si>
    <t>Командировочные расходы</t>
  </si>
  <si>
    <t>Суточные</t>
  </si>
  <si>
    <t>Начисления на заработную плату (ШР МБ)</t>
  </si>
  <si>
    <t>Заработная плата (ШР МБ)</t>
  </si>
  <si>
    <t>Связь</t>
  </si>
  <si>
    <t>Интернет</t>
  </si>
  <si>
    <t>Водоснабжение и водоотведение</t>
  </si>
  <si>
    <t>Электроэнергия</t>
  </si>
  <si>
    <t>Дезинсекция, дератизация и аккарицидная обработка</t>
  </si>
  <si>
    <t>Техническое обслуживание торгово-технического оборудования</t>
  </si>
  <si>
    <t>Заправка картриджей, заправка огнетушителей</t>
  </si>
  <si>
    <t>Обслуживание системы видеонаблюдения</t>
  </si>
  <si>
    <t>Утилизация ламп</t>
  </si>
  <si>
    <t>Медицинский осмотр</t>
  </si>
  <si>
    <t>Лабораторные исследования</t>
  </si>
  <si>
    <t>Гигиеническое обучение</t>
  </si>
  <si>
    <t>Программное обеспечение</t>
  </si>
  <si>
    <t>Курсы повышение квалификации</t>
  </si>
  <si>
    <t>Обслуживание КТС</t>
  </si>
  <si>
    <t>Ветеринарные услуги</t>
  </si>
  <si>
    <t>Продукты питания</t>
  </si>
  <si>
    <t>Спецодежда</t>
  </si>
  <si>
    <t>Комплектующие и канц. товары</t>
  </si>
  <si>
    <t>Хозяйственные товары, хозяйственный инвентарь</t>
  </si>
  <si>
    <t>Кухонный инвентарь</t>
  </si>
  <si>
    <t>Строительные материалы на текущий ремонт</t>
  </si>
  <si>
    <t>Налог на имущество</t>
  </si>
  <si>
    <t>Земельный налог</t>
  </si>
  <si>
    <t>Государственная пошлина</t>
  </si>
  <si>
    <t>Заработная плата (ШР РБ)</t>
  </si>
  <si>
    <t>Начисления на заработную плату (ШР РБ)</t>
  </si>
  <si>
    <t>Учебные расходы</t>
  </si>
  <si>
    <t>612</t>
  </si>
  <si>
    <t>8590116911</t>
  </si>
  <si>
    <t>Уровень фин-я</t>
  </si>
  <si>
    <t>МБ</t>
  </si>
  <si>
    <t>РБ</t>
  </si>
  <si>
    <t>ОПС</t>
  </si>
  <si>
    <t>Подписка</t>
  </si>
  <si>
    <t>0702</t>
  </si>
  <si>
    <t>0420116000</t>
  </si>
  <si>
    <t>Оплата нотариальных услуг, изготовление бланков, печатей, оплата услуг СМИ</t>
  </si>
  <si>
    <t>Бланки аттестатов</t>
  </si>
  <si>
    <t>Книга сувенир, награждение</t>
  </si>
  <si>
    <t>Медикаменты</t>
  </si>
  <si>
    <t>Моющие</t>
  </si>
  <si>
    <t>0420173030</t>
  </si>
  <si>
    <t>0420173040</t>
  </si>
  <si>
    <t>0460140100</t>
  </si>
  <si>
    <t>Выплата молодым специалистам подъемных средств</t>
  </si>
  <si>
    <t>0460140200</t>
  </si>
  <si>
    <t>Соц. поддержка молодым специалистам</t>
  </si>
  <si>
    <t>0707</t>
  </si>
  <si>
    <t>0440120000</t>
  </si>
  <si>
    <t>0440173050</t>
  </si>
  <si>
    <t>0440173140</t>
  </si>
  <si>
    <t>8590116908</t>
  </si>
  <si>
    <t>0709</t>
  </si>
  <si>
    <t>04201S2B40</t>
  </si>
  <si>
    <t>Суточные детей</t>
  </si>
  <si>
    <t>ФБ</t>
  </si>
  <si>
    <t>0420153030</t>
  </si>
  <si>
    <t>Заработная плата (ШР ФБ)</t>
  </si>
  <si>
    <t>Начисления на заработную плату (ШР ФБ)</t>
  </si>
  <si>
    <t>04202L3040</t>
  </si>
  <si>
    <t>04202S2K90</t>
  </si>
  <si>
    <t>Вывоз ТКО</t>
  </si>
  <si>
    <t>Ревизия искусственного освещения и электрощитовой</t>
  </si>
  <si>
    <t>Компенсация родителям за питание</t>
  </si>
  <si>
    <t>0420217000</t>
  </si>
  <si>
    <t>Продукты питания КМНС и льготники</t>
  </si>
  <si>
    <t>0420174490</t>
  </si>
  <si>
    <t>Ревизия системы отопления</t>
  </si>
  <si>
    <t>Снятие и предоставление информации о параметрах теплопотребления</t>
  </si>
  <si>
    <t>Обслуживание объектовых передатчиков</t>
  </si>
  <si>
    <t>ЛОУ</t>
  </si>
  <si>
    <t>93802030301</t>
  </si>
  <si>
    <t>04201S2160</t>
  </si>
  <si>
    <t>Отопление и ГВС</t>
  </si>
  <si>
    <t>ЛОУ не ТЖС- путевки</t>
  </si>
  <si>
    <t>ЛОУ ТЖС - путевки</t>
  </si>
  <si>
    <t>Испытания сопротивления изоляции проводов и кабелей</t>
  </si>
  <si>
    <t>Освидетельствование огнетушителей</t>
  </si>
  <si>
    <t>Контроль качества огнезащ.обр</t>
  </si>
  <si>
    <t>045ЕB51790</t>
  </si>
  <si>
    <t>04202S2Р40</t>
  </si>
  <si>
    <t>0460140300</t>
  </si>
  <si>
    <t>Стипендия</t>
  </si>
  <si>
    <t>Тех. Обслуживание ИВТ и разм. инф. на сайте</t>
  </si>
  <si>
    <t>Установка камер видеонаблюдения</t>
  </si>
  <si>
    <t>Оборудование для пищеблока</t>
  </si>
  <si>
    <t>Установка входной двери</t>
  </si>
  <si>
    <t>Мебель и оборудование для уч.кабинетов</t>
  </si>
  <si>
    <t>Установка полового покрытия</t>
  </si>
  <si>
    <t>Линолеум</t>
  </si>
  <si>
    <t>Отделка стен из панелей в столовой</t>
  </si>
  <si>
    <t>Ремонт в обеденном зале</t>
  </si>
  <si>
    <t>Ограждение</t>
  </si>
  <si>
    <t>Техническое обследование зданий</t>
  </si>
  <si>
    <t>Ограждение турникет</t>
  </si>
  <si>
    <t>Обследование вентиляции</t>
  </si>
  <si>
    <t>Смета доходов и расходов МБОУ ТСОШ № 3 на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</si>
</sst>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33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17" borderId="1" xfId="0" applyNumberFormat="1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18" borderId="1" xfId="0" applyNumberFormat="1" applyFont="1" applyFill="1" applyBorder="1" applyAlignment="1">
      <alignment horizontal="center" vertical="center"/>
    </xf>
    <xf numFmtId="49" fontId="2" fillId="19" borderId="1" xfId="0" applyNumberFormat="1" applyFont="1" applyFill="1" applyBorder="1" applyAlignment="1">
      <alignment horizontal="center" vertical="center"/>
    </xf>
    <xf numFmtId="49" fontId="2" fillId="20" borderId="1" xfId="0" applyNumberFormat="1" applyFont="1" applyFill="1" applyBorder="1" applyAlignment="1">
      <alignment horizontal="center" vertical="center"/>
    </xf>
    <xf numFmtId="49" fontId="2" fillId="21" borderId="1" xfId="0" applyNumberFormat="1" applyFont="1" applyFill="1" applyBorder="1" applyAlignment="1">
      <alignment horizontal="center" vertical="center"/>
    </xf>
    <xf numFmtId="49" fontId="2" fillId="22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23" borderId="1" xfId="0" applyNumberFormat="1" applyFont="1" applyFill="1" applyBorder="1" applyAlignment="1">
      <alignment horizontal="center" vertical="center"/>
    </xf>
    <xf numFmtId="49" fontId="2" fillId="24" borderId="1" xfId="0" applyNumberFormat="1" applyFont="1" applyFill="1" applyBorder="1" applyAlignment="1">
      <alignment horizontal="center" vertical="center"/>
    </xf>
    <xf numFmtId="49" fontId="2" fillId="2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0066"/>
      <color rgb="FFCC0066"/>
      <color rgb="FFFF66FF"/>
      <color rgb="FFFF66CC"/>
      <color rgb="FF33CCFF"/>
      <color rgb="FF0066FF"/>
      <color rgb="FF00FF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0" zoomScaleNormal="100" zoomScaleSheetLayoutView="70" workbookViewId="0">
      <pane xSplit="11" ySplit="15" topLeftCell="L52" activePane="bottomRight" state="frozen"/>
      <selection activeCell="K64" sqref="K64"/>
      <selection pane="topRight" activeCell="K64" sqref="K64"/>
      <selection pane="bottomLeft" activeCell="K64" sqref="K64"/>
      <selection pane="bottomRight" activeCell="K64" sqref="K64"/>
    </sheetView>
  </sheetViews>
  <sheetFormatPr defaultColWidth="9" defaultRowHeight="15" x14ac:dyDescent="0.25"/>
  <cols>
    <col min="1" max="1" width="4.5703125" style="2" customWidth="1"/>
    <col min="2" max="2" width="2.28515625" style="2" customWidth="1"/>
    <col min="3" max="3" width="4.42578125" style="2" customWidth="1"/>
    <col min="4" max="4" width="5.5703125" style="2" bestFit="1" customWidth="1"/>
    <col min="5" max="5" width="12" style="2" customWidth="1"/>
    <col min="6" max="6" width="4.42578125" style="2" bestFit="1" customWidth="1"/>
    <col min="7" max="7" width="17.5703125" style="2" customWidth="1"/>
    <col min="8" max="9" width="4.42578125" style="2" customWidth="1"/>
    <col min="10" max="10" width="45.5703125" style="2" customWidth="1"/>
    <col min="11" max="11" width="15.42578125" style="34" customWidth="1"/>
    <col min="12" max="12" width="9" style="2"/>
    <col min="13" max="13" width="10.85546875" style="2" bestFit="1" customWidth="1"/>
    <col min="14" max="14" width="11.7109375" style="2" bestFit="1" customWidth="1"/>
    <col min="15" max="16384" width="9" style="2"/>
  </cols>
  <sheetData>
    <row r="1" spans="1:13" x14ac:dyDescent="0.25">
      <c r="A1" s="1" t="s">
        <v>113</v>
      </c>
      <c r="B1" s="1"/>
    </row>
    <row r="2" spans="1:13" s="5" customFormat="1" ht="15" customHeight="1" x14ac:dyDescent="0.2">
      <c r="A2" s="3" t="s">
        <v>46</v>
      </c>
      <c r="B2" s="3" t="s">
        <v>10</v>
      </c>
      <c r="C2" s="4" t="s">
        <v>5</v>
      </c>
      <c r="D2" s="4" t="s">
        <v>3</v>
      </c>
      <c r="E2" s="4" t="s">
        <v>4</v>
      </c>
      <c r="F2" s="4" t="s">
        <v>2</v>
      </c>
      <c r="G2" s="4" t="s">
        <v>1</v>
      </c>
      <c r="H2" s="4" t="s">
        <v>6</v>
      </c>
      <c r="I2" s="4" t="s">
        <v>7</v>
      </c>
      <c r="J2" s="4" t="s">
        <v>8</v>
      </c>
      <c r="K2" s="35" t="s">
        <v>9</v>
      </c>
    </row>
    <row r="3" spans="1:13" s="10" customFormat="1" x14ac:dyDescent="0.25">
      <c r="A3" s="6" t="s">
        <v>47</v>
      </c>
      <c r="B3" s="6">
        <f t="shared" ref="B3:B45" si="0">IF(F3="611",4,IF(F3="612",5, ))</f>
        <v>4</v>
      </c>
      <c r="C3" s="7">
        <v>859</v>
      </c>
      <c r="D3" s="7" t="s">
        <v>51</v>
      </c>
      <c r="E3" s="41" t="s">
        <v>52</v>
      </c>
      <c r="F3" s="28" t="s">
        <v>0</v>
      </c>
      <c r="G3" s="33"/>
      <c r="H3" s="9">
        <v>111</v>
      </c>
      <c r="I3" s="9">
        <v>211</v>
      </c>
      <c r="J3" s="53" t="s">
        <v>15</v>
      </c>
      <c r="K3" s="32">
        <f>ROUND(13223496,0)-K85-K87-K73-K79-2627553</f>
        <v>2097949</v>
      </c>
      <c r="M3" s="23"/>
    </row>
    <row r="4" spans="1:13" s="10" customFormat="1" x14ac:dyDescent="0.25">
      <c r="A4" s="6" t="s">
        <v>47</v>
      </c>
      <c r="B4" s="6">
        <f t="shared" si="0"/>
        <v>4</v>
      </c>
      <c r="C4" s="7">
        <v>859</v>
      </c>
      <c r="D4" s="7" t="s">
        <v>51</v>
      </c>
      <c r="E4" s="41" t="s">
        <v>52</v>
      </c>
      <c r="F4" s="28" t="s">
        <v>0</v>
      </c>
      <c r="G4" s="33"/>
      <c r="H4" s="11">
        <v>112</v>
      </c>
      <c r="I4" s="11">
        <v>212</v>
      </c>
      <c r="J4" s="53" t="s">
        <v>11</v>
      </c>
      <c r="K4" s="32">
        <f>450000</f>
        <v>450000</v>
      </c>
    </row>
    <row r="5" spans="1:13" s="10" customFormat="1" x14ac:dyDescent="0.25">
      <c r="A5" s="6" t="s">
        <v>47</v>
      </c>
      <c r="B5" s="6">
        <f t="shared" si="0"/>
        <v>4</v>
      </c>
      <c r="C5" s="7">
        <v>859</v>
      </c>
      <c r="D5" s="7" t="s">
        <v>51</v>
      </c>
      <c r="E5" s="41" t="s">
        <v>52</v>
      </c>
      <c r="F5" s="28" t="s">
        <v>0</v>
      </c>
      <c r="G5" s="33"/>
      <c r="H5" s="11">
        <v>112</v>
      </c>
      <c r="I5" s="11">
        <v>212</v>
      </c>
      <c r="J5" s="53" t="s">
        <v>12</v>
      </c>
      <c r="K5" s="32">
        <f>103000</f>
        <v>103000</v>
      </c>
    </row>
    <row r="6" spans="1:13" s="10" customFormat="1" x14ac:dyDescent="0.25">
      <c r="A6" s="6" t="s">
        <v>47</v>
      </c>
      <c r="B6" s="6">
        <f t="shared" si="0"/>
        <v>4</v>
      </c>
      <c r="C6" s="7">
        <v>859</v>
      </c>
      <c r="D6" s="7" t="s">
        <v>51</v>
      </c>
      <c r="E6" s="41" t="s">
        <v>52</v>
      </c>
      <c r="F6" s="28" t="s">
        <v>0</v>
      </c>
      <c r="G6" s="33"/>
      <c r="H6" s="11">
        <v>112</v>
      </c>
      <c r="I6" s="11">
        <v>212</v>
      </c>
      <c r="J6" s="53" t="s">
        <v>13</v>
      </c>
      <c r="K6" s="32">
        <v>20000</v>
      </c>
    </row>
    <row r="7" spans="1:13" s="10" customFormat="1" x14ac:dyDescent="0.25">
      <c r="A7" s="6" t="s">
        <v>47</v>
      </c>
      <c r="B7" s="6">
        <f t="shared" si="0"/>
        <v>4</v>
      </c>
      <c r="C7" s="7">
        <v>859</v>
      </c>
      <c r="D7" s="7" t="s">
        <v>51</v>
      </c>
      <c r="E7" s="41" t="s">
        <v>52</v>
      </c>
      <c r="F7" s="28" t="s">
        <v>0</v>
      </c>
      <c r="G7" s="33"/>
      <c r="H7" s="29">
        <v>113</v>
      </c>
      <c r="I7" s="18">
        <v>290</v>
      </c>
      <c r="J7" s="53" t="s">
        <v>71</v>
      </c>
      <c r="K7" s="32">
        <f>50000+100000</f>
        <v>150000</v>
      </c>
    </row>
    <row r="8" spans="1:13" s="10" customFormat="1" x14ac:dyDescent="0.25">
      <c r="A8" s="6" t="s">
        <v>47</v>
      </c>
      <c r="B8" s="6">
        <f t="shared" si="0"/>
        <v>4</v>
      </c>
      <c r="C8" s="7">
        <v>859</v>
      </c>
      <c r="D8" s="7" t="s">
        <v>51</v>
      </c>
      <c r="E8" s="41" t="s">
        <v>52</v>
      </c>
      <c r="F8" s="28" t="s">
        <v>0</v>
      </c>
      <c r="G8" s="33"/>
      <c r="H8" s="12">
        <v>119</v>
      </c>
      <c r="I8" s="12">
        <v>213</v>
      </c>
      <c r="J8" s="53" t="s">
        <v>14</v>
      </c>
      <c r="K8" s="32">
        <f>ROUNDUP(3993496,0)-K86-K88-K74-K80-793520.6</f>
        <v>633581.4</v>
      </c>
    </row>
    <row r="9" spans="1:13" s="10" customFormat="1" x14ac:dyDescent="0.25">
      <c r="A9" s="6" t="s">
        <v>47</v>
      </c>
      <c r="B9" s="6">
        <f t="shared" si="0"/>
        <v>4</v>
      </c>
      <c r="C9" s="7">
        <v>859</v>
      </c>
      <c r="D9" s="7" t="s">
        <v>51</v>
      </c>
      <c r="E9" s="41" t="s">
        <v>52</v>
      </c>
      <c r="F9" s="28" t="s">
        <v>0</v>
      </c>
      <c r="G9" s="33"/>
      <c r="H9" s="13">
        <v>244</v>
      </c>
      <c r="I9" s="14">
        <v>221</v>
      </c>
      <c r="J9" s="53" t="s">
        <v>16</v>
      </c>
      <c r="K9" s="32">
        <f>680*12+730*12</f>
        <v>16920</v>
      </c>
      <c r="M9" s="23"/>
    </row>
    <row r="10" spans="1:13" s="10" customFormat="1" x14ac:dyDescent="0.25">
      <c r="A10" s="6" t="s">
        <v>47</v>
      </c>
      <c r="B10" s="6">
        <f t="shared" si="0"/>
        <v>4</v>
      </c>
      <c r="C10" s="7">
        <v>859</v>
      </c>
      <c r="D10" s="7" t="s">
        <v>51</v>
      </c>
      <c r="E10" s="41" t="s">
        <v>52</v>
      </c>
      <c r="F10" s="28" t="s">
        <v>0</v>
      </c>
      <c r="G10" s="33"/>
      <c r="H10" s="13">
        <v>244</v>
      </c>
      <c r="I10" s="14">
        <v>221</v>
      </c>
      <c r="J10" s="53" t="s">
        <v>17</v>
      </c>
      <c r="K10" s="32">
        <f>12000*1.1</f>
        <v>13200.000000000002</v>
      </c>
    </row>
    <row r="11" spans="1:13" s="10" customFormat="1" x14ac:dyDescent="0.25">
      <c r="A11" s="6" t="s">
        <v>47</v>
      </c>
      <c r="B11" s="6">
        <f t="shared" si="0"/>
        <v>4</v>
      </c>
      <c r="C11" s="7">
        <v>859</v>
      </c>
      <c r="D11" s="7" t="s">
        <v>51</v>
      </c>
      <c r="E11" s="41" t="s">
        <v>52</v>
      </c>
      <c r="F11" s="28" t="s">
        <v>0</v>
      </c>
      <c r="G11" s="33"/>
      <c r="H11" s="13">
        <v>244</v>
      </c>
      <c r="I11" s="15">
        <v>223</v>
      </c>
      <c r="J11" s="53" t="s">
        <v>18</v>
      </c>
      <c r="K11" s="32">
        <f>ROUND(335790.89+693834.47,0)-K75-K81</f>
        <v>411850</v>
      </c>
    </row>
    <row r="12" spans="1:13" s="10" customFormat="1" x14ac:dyDescent="0.25">
      <c r="A12" s="6" t="s">
        <v>47</v>
      </c>
      <c r="B12" s="6">
        <f t="shared" si="0"/>
        <v>4</v>
      </c>
      <c r="C12" s="7">
        <v>859</v>
      </c>
      <c r="D12" s="7" t="s">
        <v>51</v>
      </c>
      <c r="E12" s="41" t="s">
        <v>52</v>
      </c>
      <c r="F12" s="28" t="s">
        <v>0</v>
      </c>
      <c r="G12" s="33"/>
      <c r="H12" s="13">
        <v>244</v>
      </c>
      <c r="I12" s="15">
        <v>223</v>
      </c>
      <c r="J12" s="53" t="s">
        <v>78</v>
      </c>
      <c r="K12" s="32">
        <f>ROUNDUP(51583.98,0)-K76-K82</f>
        <v>20634</v>
      </c>
    </row>
    <row r="13" spans="1:13" s="10" customFormat="1" ht="30" x14ac:dyDescent="0.25">
      <c r="A13" s="6" t="s">
        <v>47</v>
      </c>
      <c r="B13" s="6">
        <f t="shared" si="0"/>
        <v>4</v>
      </c>
      <c r="C13" s="7">
        <v>859</v>
      </c>
      <c r="D13" s="7" t="s">
        <v>51</v>
      </c>
      <c r="E13" s="41" t="s">
        <v>52</v>
      </c>
      <c r="F13" s="28" t="s">
        <v>0</v>
      </c>
      <c r="G13" s="33"/>
      <c r="H13" s="13">
        <v>244</v>
      </c>
      <c r="I13" s="16">
        <v>225</v>
      </c>
      <c r="J13" s="53" t="s">
        <v>20</v>
      </c>
      <c r="K13" s="32">
        <f>ROUNDUP((433805.62*1.1),0)</f>
        <v>477187</v>
      </c>
      <c r="M13" s="23"/>
    </row>
    <row r="14" spans="1:13" s="10" customFormat="1" ht="30" x14ac:dyDescent="0.25">
      <c r="A14" s="6" t="s">
        <v>47</v>
      </c>
      <c r="B14" s="6">
        <f t="shared" si="0"/>
        <v>4</v>
      </c>
      <c r="C14" s="7">
        <v>859</v>
      </c>
      <c r="D14" s="7" t="s">
        <v>51</v>
      </c>
      <c r="E14" s="41" t="s">
        <v>52</v>
      </c>
      <c r="F14" s="28" t="s">
        <v>0</v>
      </c>
      <c r="G14" s="33"/>
      <c r="H14" s="13">
        <v>244</v>
      </c>
      <c r="I14" s="16">
        <v>225</v>
      </c>
      <c r="J14" s="53" t="s">
        <v>21</v>
      </c>
      <c r="K14" s="32">
        <f>5170*12</f>
        <v>62040</v>
      </c>
    </row>
    <row r="15" spans="1:13" s="10" customFormat="1" x14ac:dyDescent="0.25">
      <c r="A15" s="6" t="s">
        <v>47</v>
      </c>
      <c r="B15" s="6">
        <f t="shared" si="0"/>
        <v>4</v>
      </c>
      <c r="C15" s="7">
        <v>859</v>
      </c>
      <c r="D15" s="7" t="s">
        <v>51</v>
      </c>
      <c r="E15" s="41" t="s">
        <v>52</v>
      </c>
      <c r="F15" s="28" t="s">
        <v>0</v>
      </c>
      <c r="G15" s="33"/>
      <c r="H15" s="13">
        <v>244</v>
      </c>
      <c r="I15" s="16">
        <v>225</v>
      </c>
      <c r="J15" s="53" t="s">
        <v>49</v>
      </c>
      <c r="K15" s="32">
        <f>ROUNDUP((28612.5+637.5)*12,0)</f>
        <v>351000</v>
      </c>
    </row>
    <row r="16" spans="1:13" s="10" customFormat="1" ht="30" x14ac:dyDescent="0.25">
      <c r="A16" s="6" t="s">
        <v>47</v>
      </c>
      <c r="B16" s="6">
        <f t="shared" si="0"/>
        <v>4</v>
      </c>
      <c r="C16" s="7">
        <v>859</v>
      </c>
      <c r="D16" s="7" t="s">
        <v>51</v>
      </c>
      <c r="E16" s="41" t="s">
        <v>52</v>
      </c>
      <c r="F16" s="28" t="s">
        <v>0</v>
      </c>
      <c r="G16" s="33"/>
      <c r="H16" s="13">
        <v>244</v>
      </c>
      <c r="I16" s="16">
        <v>225</v>
      </c>
      <c r="J16" s="53" t="s">
        <v>79</v>
      </c>
      <c r="K16" s="32">
        <f>200000</f>
        <v>200000</v>
      </c>
    </row>
    <row r="17" spans="1:11" s="10" customFormat="1" ht="30" x14ac:dyDescent="0.25">
      <c r="A17" s="6" t="s">
        <v>47</v>
      </c>
      <c r="B17" s="6">
        <f t="shared" si="0"/>
        <v>4</v>
      </c>
      <c r="C17" s="7">
        <v>859</v>
      </c>
      <c r="D17" s="7" t="s">
        <v>51</v>
      </c>
      <c r="E17" s="41" t="s">
        <v>52</v>
      </c>
      <c r="F17" s="28" t="s">
        <v>0</v>
      </c>
      <c r="G17" s="33"/>
      <c r="H17" s="13">
        <v>244</v>
      </c>
      <c r="I17" s="16">
        <v>225</v>
      </c>
      <c r="J17" s="53" t="s">
        <v>93</v>
      </c>
      <c r="K17" s="32">
        <v>82300</v>
      </c>
    </row>
    <row r="18" spans="1:11" s="10" customFormat="1" ht="30" x14ac:dyDescent="0.25">
      <c r="A18" s="6" t="s">
        <v>47</v>
      </c>
      <c r="B18" s="6">
        <f t="shared" ref="B18" si="1">IF(F18="611",4,IF(F18="612",5, ))</f>
        <v>4</v>
      </c>
      <c r="C18" s="7">
        <v>859</v>
      </c>
      <c r="D18" s="7" t="s">
        <v>51</v>
      </c>
      <c r="E18" s="41" t="s">
        <v>52</v>
      </c>
      <c r="F18" s="28" t="s">
        <v>0</v>
      </c>
      <c r="G18" s="33"/>
      <c r="H18" s="13">
        <v>244</v>
      </c>
      <c r="I18" s="16">
        <v>225</v>
      </c>
      <c r="J18" s="54" t="s">
        <v>85</v>
      </c>
      <c r="K18" s="32">
        <f>ROUNDUP(1006*12*1.1,0)</f>
        <v>13280</v>
      </c>
    </row>
    <row r="19" spans="1:11" s="10" customFormat="1" x14ac:dyDescent="0.25">
      <c r="A19" s="6" t="s">
        <v>47</v>
      </c>
      <c r="B19" s="6">
        <f t="shared" ref="B19" si="2">IF(F19="611",4,IF(F19="612",5, ))</f>
        <v>4</v>
      </c>
      <c r="C19" s="7">
        <v>859</v>
      </c>
      <c r="D19" s="7" t="s">
        <v>51</v>
      </c>
      <c r="E19" s="41" t="s">
        <v>52</v>
      </c>
      <c r="F19" s="28" t="s">
        <v>0</v>
      </c>
      <c r="G19" s="33"/>
      <c r="H19" s="13">
        <v>244</v>
      </c>
      <c r="I19" s="16">
        <v>225</v>
      </c>
      <c r="J19" s="54" t="s">
        <v>86</v>
      </c>
      <c r="K19" s="32">
        <f>ROUNDUP(1500*12,0)</f>
        <v>18000</v>
      </c>
    </row>
    <row r="20" spans="1:11" s="10" customFormat="1" x14ac:dyDescent="0.25">
      <c r="A20" s="6" t="s">
        <v>47</v>
      </c>
      <c r="B20" s="6">
        <f t="shared" si="0"/>
        <v>4</v>
      </c>
      <c r="C20" s="7">
        <v>859</v>
      </c>
      <c r="D20" s="7" t="s">
        <v>51</v>
      </c>
      <c r="E20" s="41" t="s">
        <v>52</v>
      </c>
      <c r="F20" s="28" t="s">
        <v>0</v>
      </c>
      <c r="G20" s="33"/>
      <c r="H20" s="13">
        <v>244</v>
      </c>
      <c r="I20" s="16">
        <v>225</v>
      </c>
      <c r="J20" s="53" t="s">
        <v>84</v>
      </c>
      <c r="K20" s="32">
        <v>120000</v>
      </c>
    </row>
    <row r="21" spans="1:11" s="10" customFormat="1" x14ac:dyDescent="0.25">
      <c r="A21" s="6" t="s">
        <v>47</v>
      </c>
      <c r="B21" s="6">
        <f t="shared" ref="B21" si="3">IF(F21="611",4,IF(F21="612",5, ))</f>
        <v>4</v>
      </c>
      <c r="C21" s="7">
        <v>859</v>
      </c>
      <c r="D21" s="7" t="s">
        <v>51</v>
      </c>
      <c r="E21" s="41" t="s">
        <v>52</v>
      </c>
      <c r="F21" s="28" t="s">
        <v>0</v>
      </c>
      <c r="G21" s="33"/>
      <c r="H21" s="13">
        <v>244</v>
      </c>
      <c r="I21" s="16">
        <v>225</v>
      </c>
      <c r="J21" s="53" t="s">
        <v>101</v>
      </c>
      <c r="K21" s="32"/>
    </row>
    <row r="22" spans="1:11" s="10" customFormat="1" x14ac:dyDescent="0.25">
      <c r="A22" s="6" t="s">
        <v>47</v>
      </c>
      <c r="B22" s="6">
        <f t="shared" ref="B22" si="4">IF(F22="611",4,IF(F22="612",5, ))</f>
        <v>4</v>
      </c>
      <c r="C22" s="7">
        <v>859</v>
      </c>
      <c r="D22" s="7" t="s">
        <v>51</v>
      </c>
      <c r="E22" s="41" t="s">
        <v>52</v>
      </c>
      <c r="F22" s="28" t="s">
        <v>0</v>
      </c>
      <c r="G22" s="33"/>
      <c r="H22" s="13">
        <v>244</v>
      </c>
      <c r="I22" s="16">
        <v>225</v>
      </c>
      <c r="J22" s="53" t="s">
        <v>103</v>
      </c>
      <c r="K22" s="32"/>
    </row>
    <row r="23" spans="1:11" s="10" customFormat="1" x14ac:dyDescent="0.25">
      <c r="A23" s="6" t="s">
        <v>47</v>
      </c>
      <c r="B23" s="6">
        <f t="shared" ref="B23" si="5">IF(F23="611",4,IF(F23="612",5, ))</f>
        <v>4</v>
      </c>
      <c r="C23" s="7">
        <v>859</v>
      </c>
      <c r="D23" s="7" t="s">
        <v>51</v>
      </c>
      <c r="E23" s="41" t="s">
        <v>52</v>
      </c>
      <c r="F23" s="28" t="s">
        <v>0</v>
      </c>
      <c r="G23" s="33"/>
      <c r="H23" s="13">
        <v>244</v>
      </c>
      <c r="I23" s="16">
        <v>225</v>
      </c>
      <c r="J23" s="53" t="s">
        <v>94</v>
      </c>
      <c r="K23" s="32">
        <v>55000</v>
      </c>
    </row>
    <row r="24" spans="1:11" s="10" customFormat="1" x14ac:dyDescent="0.25">
      <c r="A24" s="6" t="s">
        <v>47</v>
      </c>
      <c r="B24" s="6">
        <f t="shared" ref="B24:B25" si="6">IF(F24="611",4,IF(F24="612",5, ))</f>
        <v>4</v>
      </c>
      <c r="C24" s="7">
        <v>859</v>
      </c>
      <c r="D24" s="7" t="s">
        <v>51</v>
      </c>
      <c r="E24" s="41" t="s">
        <v>52</v>
      </c>
      <c r="F24" s="28" t="s">
        <v>0</v>
      </c>
      <c r="G24" s="33"/>
      <c r="H24" s="13">
        <v>244</v>
      </c>
      <c r="I24" s="16">
        <v>225</v>
      </c>
      <c r="J24" s="53" t="s">
        <v>95</v>
      </c>
      <c r="K24" s="32">
        <v>35000</v>
      </c>
    </row>
    <row r="25" spans="1:11" s="10" customFormat="1" x14ac:dyDescent="0.25">
      <c r="A25" s="6" t="s">
        <v>47</v>
      </c>
      <c r="B25" s="6">
        <f t="shared" si="6"/>
        <v>4</v>
      </c>
      <c r="C25" s="7">
        <v>859</v>
      </c>
      <c r="D25" s="7" t="s">
        <v>51</v>
      </c>
      <c r="E25" s="41" t="s">
        <v>52</v>
      </c>
      <c r="F25" s="28" t="s">
        <v>0</v>
      </c>
      <c r="G25" s="33"/>
      <c r="H25" s="13">
        <v>244</v>
      </c>
      <c r="I25" s="16">
        <v>225</v>
      </c>
      <c r="J25" s="53" t="s">
        <v>105</v>
      </c>
      <c r="K25" s="32"/>
    </row>
    <row r="26" spans="1:11" s="10" customFormat="1" x14ac:dyDescent="0.25">
      <c r="A26" s="6" t="s">
        <v>47</v>
      </c>
      <c r="B26" s="6">
        <f t="shared" ref="B26" si="7">IF(F26="611",4,IF(F26="612",5, ))</f>
        <v>4</v>
      </c>
      <c r="C26" s="7">
        <v>859</v>
      </c>
      <c r="D26" s="7" t="s">
        <v>51</v>
      </c>
      <c r="E26" s="41" t="s">
        <v>52</v>
      </c>
      <c r="F26" s="28" t="s">
        <v>0</v>
      </c>
      <c r="G26" s="33"/>
      <c r="H26" s="13">
        <v>244</v>
      </c>
      <c r="I26" s="16">
        <v>225</v>
      </c>
      <c r="J26" s="53" t="s">
        <v>107</v>
      </c>
      <c r="K26" s="32"/>
    </row>
    <row r="27" spans="1:11" s="10" customFormat="1" x14ac:dyDescent="0.25">
      <c r="A27" s="6" t="s">
        <v>47</v>
      </c>
      <c r="B27" s="6">
        <f t="shared" ref="B27" si="8">IF(F27="611",4,IF(F27="612",5, ))</f>
        <v>4</v>
      </c>
      <c r="C27" s="7">
        <v>859</v>
      </c>
      <c r="D27" s="7" t="s">
        <v>51</v>
      </c>
      <c r="E27" s="41" t="s">
        <v>52</v>
      </c>
      <c r="F27" s="28" t="s">
        <v>0</v>
      </c>
      <c r="G27" s="33"/>
      <c r="H27" s="13">
        <v>244</v>
      </c>
      <c r="I27" s="16">
        <v>225</v>
      </c>
      <c r="J27" s="53" t="s">
        <v>108</v>
      </c>
      <c r="K27" s="32"/>
    </row>
    <row r="28" spans="1:11" s="10" customFormat="1" x14ac:dyDescent="0.25">
      <c r="A28" s="6" t="s">
        <v>47</v>
      </c>
      <c r="B28" s="6">
        <f t="shared" ref="B28" si="9">IF(F28="611",4,IF(F28="612",5, ))</f>
        <v>4</v>
      </c>
      <c r="C28" s="7">
        <v>859</v>
      </c>
      <c r="D28" s="7" t="s">
        <v>51</v>
      </c>
      <c r="E28" s="41" t="s">
        <v>52</v>
      </c>
      <c r="F28" s="28" t="s">
        <v>0</v>
      </c>
      <c r="G28" s="33"/>
      <c r="H28" s="13">
        <v>244</v>
      </c>
      <c r="I28" s="16">
        <v>225</v>
      </c>
      <c r="J28" s="53" t="s">
        <v>106</v>
      </c>
      <c r="K28" s="32"/>
    </row>
    <row r="29" spans="1:11" s="10" customFormat="1" x14ac:dyDescent="0.25">
      <c r="A29" s="6" t="s">
        <v>47</v>
      </c>
      <c r="B29" s="6">
        <f t="shared" ref="B29" si="10">IF(F29="611",4,IF(F29="612",5, ))</f>
        <v>4</v>
      </c>
      <c r="C29" s="7">
        <v>859</v>
      </c>
      <c r="D29" s="7" t="s">
        <v>51</v>
      </c>
      <c r="E29" s="41" t="s">
        <v>52</v>
      </c>
      <c r="F29" s="28" t="s">
        <v>0</v>
      </c>
      <c r="G29" s="33"/>
      <c r="H29" s="13">
        <v>244</v>
      </c>
      <c r="I29" s="16">
        <v>225</v>
      </c>
      <c r="J29" s="53" t="s">
        <v>109</v>
      </c>
      <c r="K29" s="32"/>
    </row>
    <row r="30" spans="1:11" s="10" customFormat="1" x14ac:dyDescent="0.25">
      <c r="A30" s="6" t="s">
        <v>47</v>
      </c>
      <c r="B30" s="6">
        <f t="shared" si="0"/>
        <v>4</v>
      </c>
      <c r="C30" s="7">
        <v>859</v>
      </c>
      <c r="D30" s="7" t="s">
        <v>51</v>
      </c>
      <c r="E30" s="41" t="s">
        <v>52</v>
      </c>
      <c r="F30" s="28" t="s">
        <v>0</v>
      </c>
      <c r="G30" s="33"/>
      <c r="H30" s="13">
        <v>244</v>
      </c>
      <c r="I30" s="16">
        <v>225</v>
      </c>
      <c r="J30" s="53" t="s">
        <v>22</v>
      </c>
      <c r="K30" s="32">
        <f>35000+15000</f>
        <v>50000</v>
      </c>
    </row>
    <row r="31" spans="1:11" s="10" customFormat="1" x14ac:dyDescent="0.25">
      <c r="A31" s="6" t="s">
        <v>47</v>
      </c>
      <c r="B31" s="6">
        <f t="shared" si="0"/>
        <v>4</v>
      </c>
      <c r="C31" s="7">
        <v>859</v>
      </c>
      <c r="D31" s="7" t="s">
        <v>51</v>
      </c>
      <c r="E31" s="41" t="s">
        <v>52</v>
      </c>
      <c r="F31" s="28" t="s">
        <v>0</v>
      </c>
      <c r="G31" s="33"/>
      <c r="H31" s="13">
        <v>244</v>
      </c>
      <c r="I31" s="16">
        <v>225</v>
      </c>
      <c r="J31" s="53" t="s">
        <v>23</v>
      </c>
      <c r="K31" s="32">
        <f>66000</f>
        <v>66000</v>
      </c>
    </row>
    <row r="32" spans="1:11" s="10" customFormat="1" x14ac:dyDescent="0.25">
      <c r="A32" s="6" t="s">
        <v>47</v>
      </c>
      <c r="B32" s="6">
        <f t="shared" si="0"/>
        <v>4</v>
      </c>
      <c r="C32" s="7">
        <v>859</v>
      </c>
      <c r="D32" s="7" t="s">
        <v>51</v>
      </c>
      <c r="E32" s="41" t="s">
        <v>52</v>
      </c>
      <c r="F32" s="28" t="s">
        <v>0</v>
      </c>
      <c r="G32" s="33"/>
      <c r="H32" s="13">
        <v>244</v>
      </c>
      <c r="I32" s="16">
        <v>225</v>
      </c>
      <c r="J32" s="53" t="s">
        <v>24</v>
      </c>
      <c r="K32" s="32">
        <v>125000</v>
      </c>
    </row>
    <row r="33" spans="1:13" s="10" customFormat="1" x14ac:dyDescent="0.25">
      <c r="A33" s="6" t="s">
        <v>47</v>
      </c>
      <c r="B33" s="6">
        <f t="shared" si="0"/>
        <v>4</v>
      </c>
      <c r="C33" s="7">
        <v>859</v>
      </c>
      <c r="D33" s="7" t="s">
        <v>51</v>
      </c>
      <c r="E33" s="41" t="s">
        <v>52</v>
      </c>
      <c r="F33" s="28" t="s">
        <v>0</v>
      </c>
      <c r="G33" s="33"/>
      <c r="H33" s="13">
        <v>244</v>
      </c>
      <c r="I33" s="17">
        <v>226</v>
      </c>
      <c r="J33" s="53" t="s">
        <v>25</v>
      </c>
      <c r="K33" s="32">
        <f>ROUNDUP(3250*64*1.084*1.1,0)</f>
        <v>248020</v>
      </c>
      <c r="M33" s="23"/>
    </row>
    <row r="34" spans="1:13" s="10" customFormat="1" x14ac:dyDescent="0.25">
      <c r="A34" s="6" t="s">
        <v>47</v>
      </c>
      <c r="B34" s="6">
        <f t="shared" ref="B34" si="11">IF(F34="611",4,IF(F34="612",5, ))</f>
        <v>4</v>
      </c>
      <c r="C34" s="7">
        <v>859</v>
      </c>
      <c r="D34" s="7" t="s">
        <v>51</v>
      </c>
      <c r="E34" s="41" t="s">
        <v>52</v>
      </c>
      <c r="F34" s="28" t="s">
        <v>0</v>
      </c>
      <c r="G34" s="33"/>
      <c r="H34" s="13">
        <v>244</v>
      </c>
      <c r="I34" s="17">
        <v>226</v>
      </c>
      <c r="J34" s="53" t="s">
        <v>110</v>
      </c>
      <c r="K34" s="32"/>
    </row>
    <row r="35" spans="1:13" s="10" customFormat="1" x14ac:dyDescent="0.25">
      <c r="A35" s="6" t="s">
        <v>47</v>
      </c>
      <c r="B35" s="6">
        <f t="shared" si="0"/>
        <v>4</v>
      </c>
      <c r="C35" s="7">
        <v>859</v>
      </c>
      <c r="D35" s="7" t="s">
        <v>51</v>
      </c>
      <c r="E35" s="41" t="s">
        <v>52</v>
      </c>
      <c r="F35" s="28" t="s">
        <v>0</v>
      </c>
      <c r="G35" s="33"/>
      <c r="H35" s="13">
        <v>244</v>
      </c>
      <c r="I35" s="17">
        <v>226</v>
      </c>
      <c r="J35" s="53" t="s">
        <v>26</v>
      </c>
      <c r="K35" s="32">
        <f>ROUND(57548.4,0)</f>
        <v>57548</v>
      </c>
    </row>
    <row r="36" spans="1:13" s="10" customFormat="1" x14ac:dyDescent="0.25">
      <c r="A36" s="6" t="s">
        <v>47</v>
      </c>
      <c r="B36" s="6">
        <f t="shared" si="0"/>
        <v>4</v>
      </c>
      <c r="C36" s="7">
        <v>859</v>
      </c>
      <c r="D36" s="7" t="s">
        <v>51</v>
      </c>
      <c r="E36" s="41" t="s">
        <v>52</v>
      </c>
      <c r="F36" s="28" t="s">
        <v>0</v>
      </c>
      <c r="G36" s="33"/>
      <c r="H36" s="13">
        <v>244</v>
      </c>
      <c r="I36" s="17">
        <v>226</v>
      </c>
      <c r="J36" s="53" t="s">
        <v>27</v>
      </c>
      <c r="K36" s="32">
        <f>55*1203</f>
        <v>66165</v>
      </c>
    </row>
    <row r="37" spans="1:13" s="10" customFormat="1" x14ac:dyDescent="0.25">
      <c r="A37" s="6" t="s">
        <v>47</v>
      </c>
      <c r="B37" s="6">
        <f t="shared" ref="B37" si="12">IF(F37="611",4,IF(F37="612",5, ))</f>
        <v>4</v>
      </c>
      <c r="C37" s="7">
        <v>859</v>
      </c>
      <c r="D37" s="7" t="s">
        <v>51</v>
      </c>
      <c r="E37" s="41" t="s">
        <v>52</v>
      </c>
      <c r="F37" s="28" t="s">
        <v>0</v>
      </c>
      <c r="G37" s="33"/>
      <c r="H37" s="13">
        <v>244</v>
      </c>
      <c r="I37" s="17">
        <v>226</v>
      </c>
      <c r="J37" s="53" t="s">
        <v>100</v>
      </c>
      <c r="K37" s="32">
        <f>18000*12</f>
        <v>216000</v>
      </c>
    </row>
    <row r="38" spans="1:13" s="10" customFormat="1" x14ac:dyDescent="0.25">
      <c r="A38" s="6" t="s">
        <v>47</v>
      </c>
      <c r="B38" s="6">
        <f t="shared" si="0"/>
        <v>4</v>
      </c>
      <c r="C38" s="7">
        <v>859</v>
      </c>
      <c r="D38" s="7" t="s">
        <v>51</v>
      </c>
      <c r="E38" s="41" t="s">
        <v>52</v>
      </c>
      <c r="F38" s="28" t="s">
        <v>0</v>
      </c>
      <c r="G38" s="33"/>
      <c r="H38" s="13">
        <v>244</v>
      </c>
      <c r="I38" s="17">
        <v>226</v>
      </c>
      <c r="J38" s="53" t="s">
        <v>28</v>
      </c>
      <c r="K38" s="32">
        <f>51333+94527</f>
        <v>145860</v>
      </c>
    </row>
    <row r="39" spans="1:13" s="10" customFormat="1" x14ac:dyDescent="0.25">
      <c r="A39" s="6" t="s">
        <v>47</v>
      </c>
      <c r="B39" s="6">
        <f t="shared" si="0"/>
        <v>4</v>
      </c>
      <c r="C39" s="7">
        <v>859</v>
      </c>
      <c r="D39" s="7" t="s">
        <v>51</v>
      </c>
      <c r="E39" s="41" t="s">
        <v>52</v>
      </c>
      <c r="F39" s="28" t="s">
        <v>0</v>
      </c>
      <c r="G39" s="33"/>
      <c r="H39" s="13">
        <v>244</v>
      </c>
      <c r="I39" s="17">
        <v>226</v>
      </c>
      <c r="J39" s="53" t="s">
        <v>29</v>
      </c>
      <c r="K39" s="32">
        <f>20000</f>
        <v>20000</v>
      </c>
    </row>
    <row r="40" spans="1:13" s="10" customFormat="1" x14ac:dyDescent="0.25">
      <c r="A40" s="6" t="s">
        <v>47</v>
      </c>
      <c r="B40" s="6">
        <f t="shared" si="0"/>
        <v>4</v>
      </c>
      <c r="C40" s="7">
        <v>859</v>
      </c>
      <c r="D40" s="7" t="s">
        <v>51</v>
      </c>
      <c r="E40" s="41" t="s">
        <v>52</v>
      </c>
      <c r="F40" s="28" t="s">
        <v>0</v>
      </c>
      <c r="G40" s="33"/>
      <c r="H40" s="13">
        <v>244</v>
      </c>
      <c r="I40" s="17">
        <v>226</v>
      </c>
      <c r="J40" s="53" t="s">
        <v>30</v>
      </c>
      <c r="K40" s="32">
        <f>ROUNDUP(22.79*366*24*1,0)</f>
        <v>200188</v>
      </c>
    </row>
    <row r="41" spans="1:13" s="10" customFormat="1" x14ac:dyDescent="0.25">
      <c r="A41" s="6" t="s">
        <v>47</v>
      </c>
      <c r="B41" s="6">
        <f t="shared" si="0"/>
        <v>4</v>
      </c>
      <c r="C41" s="7">
        <v>859</v>
      </c>
      <c r="D41" s="7" t="s">
        <v>51</v>
      </c>
      <c r="E41" s="41" t="s">
        <v>52</v>
      </c>
      <c r="F41" s="28" t="s">
        <v>0</v>
      </c>
      <c r="G41" s="33"/>
      <c r="H41" s="13">
        <v>244</v>
      </c>
      <c r="I41" s="17">
        <v>226</v>
      </c>
      <c r="J41" s="53" t="s">
        <v>31</v>
      </c>
      <c r="K41" s="32">
        <v>5000</v>
      </c>
    </row>
    <row r="42" spans="1:13" s="10" customFormat="1" x14ac:dyDescent="0.25">
      <c r="A42" s="6" t="s">
        <v>47</v>
      </c>
      <c r="B42" s="6">
        <f t="shared" si="0"/>
        <v>4</v>
      </c>
      <c r="C42" s="7">
        <v>859</v>
      </c>
      <c r="D42" s="7" t="s">
        <v>51</v>
      </c>
      <c r="E42" s="41" t="s">
        <v>52</v>
      </c>
      <c r="F42" s="28" t="s">
        <v>0</v>
      </c>
      <c r="G42" s="33"/>
      <c r="H42" s="13">
        <v>244</v>
      </c>
      <c r="I42" s="17">
        <v>226</v>
      </c>
      <c r="J42" s="53" t="s">
        <v>50</v>
      </c>
      <c r="K42" s="32">
        <v>25000</v>
      </c>
    </row>
    <row r="43" spans="1:13" s="10" customFormat="1" x14ac:dyDescent="0.25">
      <c r="A43" s="6" t="s">
        <v>47</v>
      </c>
      <c r="B43" s="6">
        <f t="shared" si="0"/>
        <v>4</v>
      </c>
      <c r="C43" s="7">
        <v>859</v>
      </c>
      <c r="D43" s="7" t="s">
        <v>51</v>
      </c>
      <c r="E43" s="41" t="s">
        <v>52</v>
      </c>
      <c r="F43" s="28" t="s">
        <v>0</v>
      </c>
      <c r="G43" s="33"/>
      <c r="H43" s="13">
        <v>244</v>
      </c>
      <c r="I43" s="17">
        <v>226</v>
      </c>
      <c r="J43" s="53" t="s">
        <v>112</v>
      </c>
      <c r="K43" s="32"/>
    </row>
    <row r="44" spans="1:13" s="10" customFormat="1" ht="30" x14ac:dyDescent="0.25">
      <c r="A44" s="6" t="s">
        <v>47</v>
      </c>
      <c r="B44" s="6">
        <f t="shared" si="0"/>
        <v>4</v>
      </c>
      <c r="C44" s="7">
        <v>859</v>
      </c>
      <c r="D44" s="7" t="s">
        <v>51</v>
      </c>
      <c r="E44" s="41" t="s">
        <v>52</v>
      </c>
      <c r="F44" s="28" t="s">
        <v>0</v>
      </c>
      <c r="G44" s="33"/>
      <c r="H44" s="13">
        <v>244</v>
      </c>
      <c r="I44" s="17">
        <v>226</v>
      </c>
      <c r="J44" s="53" t="s">
        <v>53</v>
      </c>
      <c r="K44" s="32">
        <f>10000</f>
        <v>10000</v>
      </c>
    </row>
    <row r="45" spans="1:13" s="10" customFormat="1" x14ac:dyDescent="0.25">
      <c r="A45" s="6" t="s">
        <v>47</v>
      </c>
      <c r="B45" s="6">
        <f t="shared" si="0"/>
        <v>4</v>
      </c>
      <c r="C45" s="7">
        <v>859</v>
      </c>
      <c r="D45" s="7" t="s">
        <v>51</v>
      </c>
      <c r="E45" s="41" t="s">
        <v>52</v>
      </c>
      <c r="F45" s="28" t="s">
        <v>0</v>
      </c>
      <c r="G45" s="33"/>
      <c r="H45" s="13">
        <v>244</v>
      </c>
      <c r="I45" s="17">
        <v>226</v>
      </c>
      <c r="J45" s="53" t="s">
        <v>54</v>
      </c>
      <c r="K45" s="32">
        <f>36000</f>
        <v>36000</v>
      </c>
    </row>
    <row r="46" spans="1:13" s="10" customFormat="1" x14ac:dyDescent="0.25">
      <c r="A46" s="6" t="s">
        <v>47</v>
      </c>
      <c r="B46" s="6">
        <f t="shared" ref="B46" si="13">IF(F46="611",4,IF(F46="612",5, ))</f>
        <v>4</v>
      </c>
      <c r="C46" s="7">
        <v>859</v>
      </c>
      <c r="D46" s="7" t="s">
        <v>51</v>
      </c>
      <c r="E46" s="41" t="s">
        <v>52</v>
      </c>
      <c r="F46" s="28" t="s">
        <v>0</v>
      </c>
      <c r="G46" s="33"/>
      <c r="H46" s="13">
        <v>244</v>
      </c>
      <c r="I46" s="17">
        <v>226</v>
      </c>
      <c r="J46" s="53" t="s">
        <v>111</v>
      </c>
      <c r="K46" s="32"/>
    </row>
    <row r="47" spans="1:13" s="10" customFormat="1" x14ac:dyDescent="0.25">
      <c r="A47" s="6" t="s">
        <v>47</v>
      </c>
      <c r="B47" s="6">
        <f t="shared" ref="B47:B94" si="14">IF(F47="611",4,IF(F47="612",5, ))</f>
        <v>4</v>
      </c>
      <c r="C47" s="7">
        <v>859</v>
      </c>
      <c r="D47" s="7" t="s">
        <v>51</v>
      </c>
      <c r="E47" s="41" t="s">
        <v>52</v>
      </c>
      <c r="F47" s="28" t="s">
        <v>0</v>
      </c>
      <c r="G47" s="33"/>
      <c r="H47" s="13">
        <v>244</v>
      </c>
      <c r="I47" s="18">
        <v>290</v>
      </c>
      <c r="J47" s="53" t="s">
        <v>55</v>
      </c>
      <c r="K47" s="32">
        <v>10000</v>
      </c>
    </row>
    <row r="48" spans="1:13" s="10" customFormat="1" x14ac:dyDescent="0.25">
      <c r="A48" s="6" t="s">
        <v>47</v>
      </c>
      <c r="B48" s="6">
        <f t="shared" ref="B48" si="15">IF(F48="611",4,IF(F48="612",5, ))</f>
        <v>4</v>
      </c>
      <c r="C48" s="7">
        <v>859</v>
      </c>
      <c r="D48" s="7" t="s">
        <v>51</v>
      </c>
      <c r="E48" s="41" t="s">
        <v>52</v>
      </c>
      <c r="F48" s="28" t="s">
        <v>0</v>
      </c>
      <c r="G48" s="33"/>
      <c r="H48" s="13">
        <v>244</v>
      </c>
      <c r="I48" s="30">
        <v>310</v>
      </c>
      <c r="J48" s="53" t="s">
        <v>102</v>
      </c>
      <c r="K48" s="32"/>
    </row>
    <row r="49" spans="1:14" s="10" customFormat="1" x14ac:dyDescent="0.25">
      <c r="A49" s="6" t="s">
        <v>47</v>
      </c>
      <c r="B49" s="6">
        <f t="shared" ref="B49" si="16">IF(F49="611",4,IF(F49="612",5, ))</f>
        <v>4</v>
      </c>
      <c r="C49" s="7">
        <v>859</v>
      </c>
      <c r="D49" s="7" t="s">
        <v>51</v>
      </c>
      <c r="E49" s="41" t="s">
        <v>52</v>
      </c>
      <c r="F49" s="28" t="s">
        <v>0</v>
      </c>
      <c r="G49" s="33"/>
      <c r="H49" s="13">
        <v>244</v>
      </c>
      <c r="I49" s="30">
        <v>310</v>
      </c>
      <c r="J49" s="53" t="s">
        <v>104</v>
      </c>
      <c r="K49" s="32"/>
    </row>
    <row r="50" spans="1:14" s="10" customFormat="1" x14ac:dyDescent="0.25">
      <c r="A50" s="6" t="s">
        <v>47</v>
      </c>
      <c r="B50" s="6">
        <f t="shared" si="14"/>
        <v>4</v>
      </c>
      <c r="C50" s="7">
        <v>859</v>
      </c>
      <c r="D50" s="7" t="s">
        <v>51</v>
      </c>
      <c r="E50" s="41" t="s">
        <v>52</v>
      </c>
      <c r="F50" s="28" t="s">
        <v>0</v>
      </c>
      <c r="G50" s="33"/>
      <c r="H50" s="13">
        <v>244</v>
      </c>
      <c r="I50" s="19">
        <v>340</v>
      </c>
      <c r="J50" s="53" t="s">
        <v>56</v>
      </c>
      <c r="K50" s="32">
        <v>15000</v>
      </c>
      <c r="M50" s="23"/>
    </row>
    <row r="51" spans="1:14" s="10" customFormat="1" x14ac:dyDescent="0.25">
      <c r="A51" s="6" t="s">
        <v>47</v>
      </c>
      <c r="B51" s="6">
        <f t="shared" si="14"/>
        <v>4</v>
      </c>
      <c r="C51" s="7">
        <v>859</v>
      </c>
      <c r="D51" s="7" t="s">
        <v>51</v>
      </c>
      <c r="E51" s="41" t="s">
        <v>52</v>
      </c>
      <c r="F51" s="28" t="s">
        <v>0</v>
      </c>
      <c r="G51" s="33"/>
      <c r="H51" s="13">
        <v>244</v>
      </c>
      <c r="I51" s="19">
        <v>340</v>
      </c>
      <c r="J51" s="53" t="s">
        <v>57</v>
      </c>
      <c r="K51" s="32">
        <v>77000</v>
      </c>
    </row>
    <row r="52" spans="1:14" s="10" customFormat="1" x14ac:dyDescent="0.25">
      <c r="A52" s="6" t="s">
        <v>47</v>
      </c>
      <c r="B52" s="6">
        <f t="shared" si="14"/>
        <v>4</v>
      </c>
      <c r="C52" s="7">
        <v>859</v>
      </c>
      <c r="D52" s="7" t="s">
        <v>51</v>
      </c>
      <c r="E52" s="41" t="s">
        <v>52</v>
      </c>
      <c r="F52" s="28" t="s">
        <v>0</v>
      </c>
      <c r="G52" s="33"/>
      <c r="H52" s="13">
        <v>244</v>
      </c>
      <c r="I52" s="19">
        <v>340</v>
      </c>
      <c r="J52" s="53" t="s">
        <v>33</v>
      </c>
      <c r="K52" s="32">
        <v>40000</v>
      </c>
    </row>
    <row r="53" spans="1:14" s="10" customFormat="1" x14ac:dyDescent="0.25">
      <c r="A53" s="6" t="s">
        <v>47</v>
      </c>
      <c r="B53" s="6">
        <f t="shared" si="14"/>
        <v>4</v>
      </c>
      <c r="C53" s="7">
        <v>859</v>
      </c>
      <c r="D53" s="7" t="s">
        <v>51</v>
      </c>
      <c r="E53" s="41" t="s">
        <v>52</v>
      </c>
      <c r="F53" s="28" t="s">
        <v>0</v>
      </c>
      <c r="G53" s="33"/>
      <c r="H53" s="13">
        <v>244</v>
      </c>
      <c r="I53" s="19">
        <v>340</v>
      </c>
      <c r="J53" s="53" t="s">
        <v>34</v>
      </c>
      <c r="K53" s="32">
        <v>33000</v>
      </c>
    </row>
    <row r="54" spans="1:14" s="10" customFormat="1" x14ac:dyDescent="0.25">
      <c r="A54" s="6" t="s">
        <v>47</v>
      </c>
      <c r="B54" s="6">
        <f t="shared" si="14"/>
        <v>4</v>
      </c>
      <c r="C54" s="7">
        <v>859</v>
      </c>
      <c r="D54" s="7" t="s">
        <v>51</v>
      </c>
      <c r="E54" s="41" t="s">
        <v>52</v>
      </c>
      <c r="F54" s="28" t="s">
        <v>0</v>
      </c>
      <c r="G54" s="33"/>
      <c r="H54" s="13">
        <v>244</v>
      </c>
      <c r="I54" s="19">
        <v>340</v>
      </c>
      <c r="J54" s="53" t="s">
        <v>36</v>
      </c>
      <c r="K54" s="32">
        <v>110000</v>
      </c>
      <c r="N54" s="23"/>
    </row>
    <row r="55" spans="1:14" s="10" customFormat="1" ht="30" x14ac:dyDescent="0.25">
      <c r="A55" s="6" t="s">
        <v>47</v>
      </c>
      <c r="B55" s="6">
        <f t="shared" si="14"/>
        <v>4</v>
      </c>
      <c r="C55" s="7">
        <v>859</v>
      </c>
      <c r="D55" s="7" t="s">
        <v>51</v>
      </c>
      <c r="E55" s="41" t="s">
        <v>52</v>
      </c>
      <c r="F55" s="28" t="s">
        <v>0</v>
      </c>
      <c r="G55" s="33"/>
      <c r="H55" s="13">
        <v>244</v>
      </c>
      <c r="I55" s="19">
        <v>340</v>
      </c>
      <c r="J55" s="53" t="s">
        <v>35</v>
      </c>
      <c r="K55" s="32">
        <v>110000</v>
      </c>
    </row>
    <row r="56" spans="1:14" s="10" customFormat="1" x14ac:dyDescent="0.25">
      <c r="A56" s="6" t="s">
        <v>47</v>
      </c>
      <c r="B56" s="6">
        <f t="shared" si="14"/>
        <v>4</v>
      </c>
      <c r="C56" s="7">
        <v>859</v>
      </c>
      <c r="D56" s="7" t="s">
        <v>51</v>
      </c>
      <c r="E56" s="41" t="s">
        <v>52</v>
      </c>
      <c r="F56" s="28" t="s">
        <v>0</v>
      </c>
      <c r="G56" s="33"/>
      <c r="H56" s="13">
        <v>244</v>
      </c>
      <c r="I56" s="19">
        <v>340</v>
      </c>
      <c r="J56" s="53" t="s">
        <v>37</v>
      </c>
      <c r="K56" s="32">
        <f>110000</f>
        <v>110000</v>
      </c>
    </row>
    <row r="57" spans="1:14" s="10" customFormat="1" x14ac:dyDescent="0.25">
      <c r="A57" s="6" t="s">
        <v>47</v>
      </c>
      <c r="B57" s="6">
        <f t="shared" si="14"/>
        <v>4</v>
      </c>
      <c r="C57" s="7">
        <v>859</v>
      </c>
      <c r="D57" s="7" t="s">
        <v>51</v>
      </c>
      <c r="E57" s="41" t="s">
        <v>52</v>
      </c>
      <c r="F57" s="28" t="s">
        <v>0</v>
      </c>
      <c r="G57" s="33"/>
      <c r="H57" s="39">
        <v>247</v>
      </c>
      <c r="I57" s="15">
        <v>223</v>
      </c>
      <c r="J57" s="53" t="s">
        <v>90</v>
      </c>
      <c r="K57" s="32">
        <f>ROUND(6719760.05+180124.04,0)-K77-K83</f>
        <v>2759954</v>
      </c>
    </row>
    <row r="58" spans="1:14" s="10" customFormat="1" x14ac:dyDescent="0.25">
      <c r="A58" s="6" t="s">
        <v>47</v>
      </c>
      <c r="B58" s="6">
        <f t="shared" si="14"/>
        <v>4</v>
      </c>
      <c r="C58" s="7">
        <v>859</v>
      </c>
      <c r="D58" s="7" t="s">
        <v>51</v>
      </c>
      <c r="E58" s="41" t="s">
        <v>52</v>
      </c>
      <c r="F58" s="28" t="s">
        <v>0</v>
      </c>
      <c r="G58" s="33"/>
      <c r="H58" s="39">
        <v>247</v>
      </c>
      <c r="I58" s="15">
        <v>223</v>
      </c>
      <c r="J58" s="53" t="s">
        <v>19</v>
      </c>
      <c r="K58" s="32">
        <f>ROUNDUP(1315000,0)-K78-K84</f>
        <v>526000</v>
      </c>
    </row>
    <row r="59" spans="1:14" s="10" customFormat="1" x14ac:dyDescent="0.25">
      <c r="A59" s="6" t="s">
        <v>47</v>
      </c>
      <c r="B59" s="6">
        <f t="shared" si="14"/>
        <v>4</v>
      </c>
      <c r="C59" s="7">
        <v>859</v>
      </c>
      <c r="D59" s="7" t="s">
        <v>51</v>
      </c>
      <c r="E59" s="41" t="s">
        <v>52</v>
      </c>
      <c r="F59" s="28" t="s">
        <v>0</v>
      </c>
      <c r="G59" s="33"/>
      <c r="H59" s="20">
        <v>851</v>
      </c>
      <c r="I59" s="18">
        <v>290</v>
      </c>
      <c r="J59" s="53" t="s">
        <v>38</v>
      </c>
      <c r="K59" s="32">
        <v>57000</v>
      </c>
    </row>
    <row r="60" spans="1:14" s="10" customFormat="1" x14ac:dyDescent="0.25">
      <c r="A60" s="6" t="s">
        <v>47</v>
      </c>
      <c r="B60" s="6">
        <f t="shared" si="14"/>
        <v>4</v>
      </c>
      <c r="C60" s="7">
        <v>859</v>
      </c>
      <c r="D60" s="7" t="s">
        <v>51</v>
      </c>
      <c r="E60" s="41" t="s">
        <v>52</v>
      </c>
      <c r="F60" s="28" t="s">
        <v>0</v>
      </c>
      <c r="G60" s="33"/>
      <c r="H60" s="20">
        <v>851</v>
      </c>
      <c r="I60" s="18">
        <v>290</v>
      </c>
      <c r="J60" s="53" t="s">
        <v>39</v>
      </c>
      <c r="K60" s="32">
        <f>98600</f>
        <v>98600</v>
      </c>
    </row>
    <row r="61" spans="1:14" s="10" customFormat="1" x14ac:dyDescent="0.25">
      <c r="A61" s="6" t="s">
        <v>47</v>
      </c>
      <c r="B61" s="6">
        <f t="shared" si="14"/>
        <v>4</v>
      </c>
      <c r="C61" s="7">
        <v>859</v>
      </c>
      <c r="D61" s="7" t="s">
        <v>51</v>
      </c>
      <c r="E61" s="41" t="s">
        <v>52</v>
      </c>
      <c r="F61" s="28" t="s">
        <v>0</v>
      </c>
      <c r="G61" s="33"/>
      <c r="H61" s="14">
        <v>852</v>
      </c>
      <c r="I61" s="18">
        <v>290</v>
      </c>
      <c r="J61" s="53" t="s">
        <v>40</v>
      </c>
      <c r="K61" s="32">
        <f>10000</f>
        <v>10000</v>
      </c>
    </row>
    <row r="62" spans="1:14" s="10" customFormat="1" x14ac:dyDescent="0.25">
      <c r="A62" s="6" t="s">
        <v>72</v>
      </c>
      <c r="B62" s="6">
        <f t="shared" ref="B62:B72" si="17">IF(F62="611",4,IF(F62="612",5, ))</f>
        <v>5</v>
      </c>
      <c r="C62" s="7">
        <v>859</v>
      </c>
      <c r="D62" s="7" t="s">
        <v>51</v>
      </c>
      <c r="E62" s="44" t="s">
        <v>73</v>
      </c>
      <c r="F62" s="28" t="s">
        <v>44</v>
      </c>
      <c r="G62" s="31"/>
      <c r="H62" s="9">
        <v>111</v>
      </c>
      <c r="I62" s="9">
        <v>211</v>
      </c>
      <c r="J62" s="53" t="s">
        <v>74</v>
      </c>
      <c r="K62" s="32">
        <f>3132000-K64</f>
        <v>2975400</v>
      </c>
    </row>
    <row r="63" spans="1:14" s="10" customFormat="1" x14ac:dyDescent="0.25">
      <c r="A63" s="6" t="s">
        <v>72</v>
      </c>
      <c r="B63" s="6">
        <f t="shared" si="17"/>
        <v>5</v>
      </c>
      <c r="C63" s="7">
        <v>859</v>
      </c>
      <c r="D63" s="7" t="s">
        <v>51</v>
      </c>
      <c r="E63" s="44" t="s">
        <v>73</v>
      </c>
      <c r="F63" s="28" t="s">
        <v>44</v>
      </c>
      <c r="G63" s="31"/>
      <c r="H63" s="12">
        <v>119</v>
      </c>
      <c r="I63" s="12">
        <v>213</v>
      </c>
      <c r="J63" s="53" t="s">
        <v>75</v>
      </c>
      <c r="K63" s="32">
        <f>945864-K65</f>
        <v>898571</v>
      </c>
    </row>
    <row r="64" spans="1:14" s="10" customFormat="1" x14ac:dyDescent="0.25">
      <c r="A64" s="6" t="s">
        <v>48</v>
      </c>
      <c r="B64" s="6">
        <f t="shared" ref="B64:B65" si="18">IF(F64="611",4,IF(F64="612",5, ))</f>
        <v>5</v>
      </c>
      <c r="C64" s="7">
        <v>859</v>
      </c>
      <c r="D64" s="7" t="s">
        <v>51</v>
      </c>
      <c r="E64" s="44" t="s">
        <v>73</v>
      </c>
      <c r="F64" s="28" t="s">
        <v>44</v>
      </c>
      <c r="G64" s="31"/>
      <c r="H64" s="9">
        <v>111</v>
      </c>
      <c r="I64" s="9">
        <v>211</v>
      </c>
      <c r="J64" s="53" t="s">
        <v>74</v>
      </c>
      <c r="K64" s="32">
        <v>156600</v>
      </c>
    </row>
    <row r="65" spans="1:15" s="10" customFormat="1" x14ac:dyDescent="0.25">
      <c r="A65" s="6" t="s">
        <v>48</v>
      </c>
      <c r="B65" s="6">
        <f t="shared" si="18"/>
        <v>5</v>
      </c>
      <c r="C65" s="7">
        <v>859</v>
      </c>
      <c r="D65" s="7" t="s">
        <v>51</v>
      </c>
      <c r="E65" s="44" t="s">
        <v>73</v>
      </c>
      <c r="F65" s="28" t="s">
        <v>44</v>
      </c>
      <c r="G65" s="31"/>
      <c r="H65" s="12">
        <v>119</v>
      </c>
      <c r="I65" s="12">
        <v>213</v>
      </c>
      <c r="J65" s="53" t="s">
        <v>75</v>
      </c>
      <c r="K65" s="32">
        <v>47293</v>
      </c>
    </row>
    <row r="66" spans="1:15" s="10" customFormat="1" x14ac:dyDescent="0.25">
      <c r="A66" s="6" t="s">
        <v>48</v>
      </c>
      <c r="B66" s="6">
        <f t="shared" si="17"/>
        <v>4</v>
      </c>
      <c r="C66" s="7">
        <v>859</v>
      </c>
      <c r="D66" s="7" t="s">
        <v>51</v>
      </c>
      <c r="E66" s="26" t="s">
        <v>58</v>
      </c>
      <c r="F66" s="28" t="s">
        <v>0</v>
      </c>
      <c r="G66" s="33"/>
      <c r="H66" s="9">
        <v>111</v>
      </c>
      <c r="I66" s="9">
        <v>211</v>
      </c>
      <c r="J66" s="53" t="s">
        <v>41</v>
      </c>
      <c r="K66" s="32">
        <v>31870500</v>
      </c>
    </row>
    <row r="67" spans="1:15" s="10" customFormat="1" x14ac:dyDescent="0.25">
      <c r="A67" s="6" t="s">
        <v>48</v>
      </c>
      <c r="B67" s="6">
        <f t="shared" si="17"/>
        <v>4</v>
      </c>
      <c r="C67" s="7">
        <v>859</v>
      </c>
      <c r="D67" s="7" t="s">
        <v>51</v>
      </c>
      <c r="E67" s="26" t="s">
        <v>58</v>
      </c>
      <c r="F67" s="28" t="s">
        <v>0</v>
      </c>
      <c r="G67" s="33"/>
      <c r="H67" s="12">
        <v>119</v>
      </c>
      <c r="I67" s="12">
        <v>213</v>
      </c>
      <c r="J67" s="53" t="s">
        <v>42</v>
      </c>
      <c r="K67" s="32">
        <v>9624900</v>
      </c>
    </row>
    <row r="68" spans="1:15" s="10" customFormat="1" x14ac:dyDescent="0.25">
      <c r="A68" s="6" t="s">
        <v>48</v>
      </c>
      <c r="B68" s="6">
        <f t="shared" si="17"/>
        <v>4</v>
      </c>
      <c r="C68" s="7">
        <v>859</v>
      </c>
      <c r="D68" s="7" t="s">
        <v>51</v>
      </c>
      <c r="E68" s="26" t="s">
        <v>58</v>
      </c>
      <c r="F68" s="28" t="s">
        <v>0</v>
      </c>
      <c r="G68" s="33"/>
      <c r="H68" s="13">
        <v>244</v>
      </c>
      <c r="I68" s="30">
        <v>310</v>
      </c>
      <c r="J68" s="53" t="s">
        <v>43</v>
      </c>
      <c r="K68" s="32">
        <v>1054500</v>
      </c>
    </row>
    <row r="69" spans="1:15" s="10" customFormat="1" x14ac:dyDescent="0.25">
      <c r="A69" s="6" t="s">
        <v>48</v>
      </c>
      <c r="B69" s="6">
        <f t="shared" si="17"/>
        <v>4</v>
      </c>
      <c r="C69" s="7">
        <v>859</v>
      </c>
      <c r="D69" s="7" t="s">
        <v>51</v>
      </c>
      <c r="E69" s="8" t="s">
        <v>59</v>
      </c>
      <c r="F69" s="28" t="s">
        <v>0</v>
      </c>
      <c r="G69" s="33"/>
      <c r="H69" s="9">
        <v>111</v>
      </c>
      <c r="I69" s="9">
        <v>211</v>
      </c>
      <c r="J69" s="53" t="s">
        <v>41</v>
      </c>
      <c r="K69" s="32">
        <f>633020+123+6835+13594+25115-122-23195</f>
        <v>655370</v>
      </c>
    </row>
    <row r="70" spans="1:15" s="10" customFormat="1" x14ac:dyDescent="0.25">
      <c r="A70" s="6" t="s">
        <v>48</v>
      </c>
      <c r="B70" s="6">
        <f t="shared" si="17"/>
        <v>4</v>
      </c>
      <c r="C70" s="7">
        <v>859</v>
      </c>
      <c r="D70" s="7" t="s">
        <v>51</v>
      </c>
      <c r="E70" s="8" t="s">
        <v>59</v>
      </c>
      <c r="F70" s="28" t="s">
        <v>0</v>
      </c>
      <c r="G70" s="33"/>
      <c r="H70" s="12">
        <v>119</v>
      </c>
      <c r="I70" s="12">
        <v>213</v>
      </c>
      <c r="J70" s="53" t="s">
        <v>42</v>
      </c>
      <c r="K70" s="32">
        <f>ROUND(K69*0.302,0)</f>
        <v>197922</v>
      </c>
    </row>
    <row r="71" spans="1:15" s="10" customFormat="1" x14ac:dyDescent="0.25">
      <c r="A71" s="6" t="s">
        <v>48</v>
      </c>
      <c r="B71" s="6">
        <f t="shared" si="17"/>
        <v>5</v>
      </c>
      <c r="C71" s="7">
        <v>859</v>
      </c>
      <c r="D71" s="7" t="s">
        <v>51</v>
      </c>
      <c r="E71" s="45" t="s">
        <v>83</v>
      </c>
      <c r="F71" s="28" t="s">
        <v>44</v>
      </c>
      <c r="G71" s="31" t="s">
        <v>45</v>
      </c>
      <c r="H71" s="9">
        <v>111</v>
      </c>
      <c r="I71" s="9">
        <v>211</v>
      </c>
      <c r="J71" s="53" t="s">
        <v>41</v>
      </c>
      <c r="K71" s="32">
        <f>789719+242310-1</f>
        <v>1032028</v>
      </c>
    </row>
    <row r="72" spans="1:15" s="10" customFormat="1" x14ac:dyDescent="0.25">
      <c r="A72" s="6" t="s">
        <v>48</v>
      </c>
      <c r="B72" s="6">
        <f t="shared" si="17"/>
        <v>5</v>
      </c>
      <c r="C72" s="7">
        <v>859</v>
      </c>
      <c r="D72" s="7" t="s">
        <v>51</v>
      </c>
      <c r="E72" s="45" t="s">
        <v>83</v>
      </c>
      <c r="F72" s="28" t="s">
        <v>44</v>
      </c>
      <c r="G72" s="31" t="s">
        <v>45</v>
      </c>
      <c r="H72" s="12">
        <v>119</v>
      </c>
      <c r="I72" s="12">
        <v>213</v>
      </c>
      <c r="J72" s="53" t="s">
        <v>42</v>
      </c>
      <c r="K72" s="32">
        <f>ROUND(K71*0.302,0)</f>
        <v>311672</v>
      </c>
    </row>
    <row r="73" spans="1:15" s="10" customFormat="1" x14ac:dyDescent="0.25">
      <c r="A73" s="6" t="s">
        <v>48</v>
      </c>
      <c r="B73" s="6">
        <f t="shared" si="14"/>
        <v>4</v>
      </c>
      <c r="C73" s="7">
        <v>859</v>
      </c>
      <c r="D73" s="7" t="s">
        <v>51</v>
      </c>
      <c r="E73" s="52" t="s">
        <v>89</v>
      </c>
      <c r="F73" s="28" t="s">
        <v>0</v>
      </c>
      <c r="G73" s="33"/>
      <c r="H73" s="9">
        <v>111</v>
      </c>
      <c r="I73" s="9">
        <v>211</v>
      </c>
      <c r="J73" s="53" t="s">
        <v>15</v>
      </c>
      <c r="K73" s="32"/>
    </row>
    <row r="74" spans="1:15" s="10" customFormat="1" x14ac:dyDescent="0.25">
      <c r="A74" s="6" t="s">
        <v>48</v>
      </c>
      <c r="B74" s="6">
        <f t="shared" si="14"/>
        <v>4</v>
      </c>
      <c r="C74" s="7">
        <v>859</v>
      </c>
      <c r="D74" s="7" t="s">
        <v>51</v>
      </c>
      <c r="E74" s="52" t="s">
        <v>89</v>
      </c>
      <c r="F74" s="28" t="s">
        <v>0</v>
      </c>
      <c r="G74" s="33"/>
      <c r="H74" s="12">
        <v>119</v>
      </c>
      <c r="I74" s="12">
        <v>213</v>
      </c>
      <c r="J74" s="53" t="s">
        <v>14</v>
      </c>
      <c r="K74" s="32"/>
    </row>
    <row r="75" spans="1:15" s="10" customFormat="1" x14ac:dyDescent="0.25">
      <c r="A75" s="6" t="s">
        <v>48</v>
      </c>
      <c r="B75" s="6">
        <f t="shared" si="14"/>
        <v>4</v>
      </c>
      <c r="C75" s="7">
        <v>859</v>
      </c>
      <c r="D75" s="7" t="s">
        <v>51</v>
      </c>
      <c r="E75" s="52" t="s">
        <v>89</v>
      </c>
      <c r="F75" s="28" t="s">
        <v>0</v>
      </c>
      <c r="G75" s="33"/>
      <c r="H75" s="13">
        <v>244</v>
      </c>
      <c r="I75" s="15">
        <v>223</v>
      </c>
      <c r="J75" s="53" t="s">
        <v>18</v>
      </c>
      <c r="K75" s="32">
        <v>617775</v>
      </c>
      <c r="N75" s="23">
        <f>K11+K75+K81</f>
        <v>1029625</v>
      </c>
      <c r="O75" s="10">
        <f>N75*0.6</f>
        <v>617775</v>
      </c>
    </row>
    <row r="76" spans="1:15" s="10" customFormat="1" x14ac:dyDescent="0.25">
      <c r="A76" s="6" t="s">
        <v>48</v>
      </c>
      <c r="B76" s="6">
        <f t="shared" si="14"/>
        <v>4</v>
      </c>
      <c r="C76" s="7">
        <v>859</v>
      </c>
      <c r="D76" s="7" t="s">
        <v>51</v>
      </c>
      <c r="E76" s="52" t="s">
        <v>89</v>
      </c>
      <c r="F76" s="28" t="s">
        <v>0</v>
      </c>
      <c r="G76" s="33"/>
      <c r="H76" s="13">
        <v>244</v>
      </c>
      <c r="I76" s="15">
        <v>223</v>
      </c>
      <c r="J76" s="53" t="s">
        <v>78</v>
      </c>
      <c r="K76" s="32">
        <v>30950</v>
      </c>
      <c r="N76" s="23">
        <f t="shared" ref="N76" si="19">K12+K76+K82</f>
        <v>51584</v>
      </c>
      <c r="O76" s="10">
        <f t="shared" ref="O76:O78" si="20">N76*0.6</f>
        <v>30950.399999999998</v>
      </c>
    </row>
    <row r="77" spans="1:15" s="10" customFormat="1" x14ac:dyDescent="0.25">
      <c r="A77" s="6" t="s">
        <v>48</v>
      </c>
      <c r="B77" s="6">
        <f t="shared" ref="B77:B78" si="21">IF(F77="611",4,IF(F77="612",5, ))</f>
        <v>4</v>
      </c>
      <c r="C77" s="7">
        <v>859</v>
      </c>
      <c r="D77" s="7" t="s">
        <v>51</v>
      </c>
      <c r="E77" s="52" t="s">
        <v>89</v>
      </c>
      <c r="F77" s="28" t="s">
        <v>0</v>
      </c>
      <c r="G77" s="33"/>
      <c r="H77" s="39">
        <v>247</v>
      </c>
      <c r="I77" s="15">
        <v>223</v>
      </c>
      <c r="J77" s="53" t="s">
        <v>90</v>
      </c>
      <c r="K77" s="32">
        <v>4139930</v>
      </c>
      <c r="N77" s="23">
        <f>K57+K77+K83</f>
        <v>6899884</v>
      </c>
      <c r="O77" s="10">
        <f t="shared" si="20"/>
        <v>4139930.4</v>
      </c>
    </row>
    <row r="78" spans="1:15" s="10" customFormat="1" x14ac:dyDescent="0.25">
      <c r="A78" s="6" t="s">
        <v>48</v>
      </c>
      <c r="B78" s="6">
        <f t="shared" si="21"/>
        <v>4</v>
      </c>
      <c r="C78" s="7">
        <v>859</v>
      </c>
      <c r="D78" s="7" t="s">
        <v>51</v>
      </c>
      <c r="E78" s="52" t="s">
        <v>89</v>
      </c>
      <c r="F78" s="28" t="s">
        <v>0</v>
      </c>
      <c r="G78" s="33"/>
      <c r="H78" s="39">
        <v>247</v>
      </c>
      <c r="I78" s="15">
        <v>223</v>
      </c>
      <c r="J78" s="53" t="s">
        <v>19</v>
      </c>
      <c r="K78" s="32">
        <v>789000</v>
      </c>
      <c r="N78" s="23">
        <f>K58+K78+K84</f>
        <v>1315000</v>
      </c>
      <c r="O78" s="10">
        <f t="shared" si="20"/>
        <v>789000</v>
      </c>
    </row>
    <row r="79" spans="1:15" s="10" customFormat="1" x14ac:dyDescent="0.25">
      <c r="A79" s="6" t="s">
        <v>47</v>
      </c>
      <c r="B79" s="6">
        <f t="shared" ref="B79:B84" si="22">IF(F79="611",4,IF(F79="612",5, ))</f>
        <v>4</v>
      </c>
      <c r="C79" s="7">
        <v>859</v>
      </c>
      <c r="D79" s="7" t="s">
        <v>51</v>
      </c>
      <c r="E79" s="52" t="s">
        <v>89</v>
      </c>
      <c r="F79" s="28" t="s">
        <v>0</v>
      </c>
      <c r="G79" s="31" t="s">
        <v>88</v>
      </c>
      <c r="H79" s="9">
        <v>111</v>
      </c>
      <c r="I79" s="9">
        <v>211</v>
      </c>
      <c r="J79" s="53" t="s">
        <v>15</v>
      </c>
      <c r="K79" s="32"/>
    </row>
    <row r="80" spans="1:15" s="10" customFormat="1" x14ac:dyDescent="0.25">
      <c r="A80" s="6" t="s">
        <v>47</v>
      </c>
      <c r="B80" s="6">
        <f t="shared" si="22"/>
        <v>4</v>
      </c>
      <c r="C80" s="7">
        <v>859</v>
      </c>
      <c r="D80" s="7" t="s">
        <v>51</v>
      </c>
      <c r="E80" s="52" t="s">
        <v>89</v>
      </c>
      <c r="F80" s="28" t="s">
        <v>0</v>
      </c>
      <c r="G80" s="31" t="s">
        <v>88</v>
      </c>
      <c r="H80" s="12">
        <v>119</v>
      </c>
      <c r="I80" s="12">
        <v>213</v>
      </c>
      <c r="J80" s="53" t="s">
        <v>14</v>
      </c>
      <c r="K80" s="32"/>
    </row>
    <row r="81" spans="1:11" s="10" customFormat="1" x14ac:dyDescent="0.25">
      <c r="A81" s="6" t="s">
        <v>47</v>
      </c>
      <c r="B81" s="6">
        <f t="shared" si="22"/>
        <v>4</v>
      </c>
      <c r="C81" s="7">
        <v>859</v>
      </c>
      <c r="D81" s="7" t="s">
        <v>51</v>
      </c>
      <c r="E81" s="52" t="s">
        <v>89</v>
      </c>
      <c r="F81" s="28" t="s">
        <v>0</v>
      </c>
      <c r="G81" s="31" t="s">
        <v>88</v>
      </c>
      <c r="H81" s="13">
        <v>244</v>
      </c>
      <c r="I81" s="15">
        <v>223</v>
      </c>
      <c r="J81" s="53" t="s">
        <v>18</v>
      </c>
      <c r="K81" s="32"/>
    </row>
    <row r="82" spans="1:11" s="10" customFormat="1" x14ac:dyDescent="0.25">
      <c r="A82" s="6" t="s">
        <v>47</v>
      </c>
      <c r="B82" s="6">
        <f t="shared" si="22"/>
        <v>4</v>
      </c>
      <c r="C82" s="7">
        <v>859</v>
      </c>
      <c r="D82" s="7" t="s">
        <v>51</v>
      </c>
      <c r="E82" s="52" t="s">
        <v>89</v>
      </c>
      <c r="F82" s="28" t="s">
        <v>0</v>
      </c>
      <c r="G82" s="31" t="s">
        <v>88</v>
      </c>
      <c r="H82" s="13">
        <v>244</v>
      </c>
      <c r="I82" s="15">
        <v>223</v>
      </c>
      <c r="J82" s="53" t="s">
        <v>78</v>
      </c>
      <c r="K82" s="32"/>
    </row>
    <row r="83" spans="1:11" s="10" customFormat="1" x14ac:dyDescent="0.25">
      <c r="A83" s="6" t="s">
        <v>47</v>
      </c>
      <c r="B83" s="6">
        <f t="shared" si="22"/>
        <v>4</v>
      </c>
      <c r="C83" s="7">
        <v>859</v>
      </c>
      <c r="D83" s="7" t="s">
        <v>51</v>
      </c>
      <c r="E83" s="52" t="s">
        <v>89</v>
      </c>
      <c r="F83" s="28" t="s">
        <v>0</v>
      </c>
      <c r="G83" s="31" t="s">
        <v>88</v>
      </c>
      <c r="H83" s="39">
        <v>247</v>
      </c>
      <c r="I83" s="15">
        <v>223</v>
      </c>
      <c r="J83" s="53" t="s">
        <v>90</v>
      </c>
      <c r="K83" s="32"/>
    </row>
    <row r="84" spans="1:11" s="10" customFormat="1" x14ac:dyDescent="0.25">
      <c r="A84" s="6" t="s">
        <v>47</v>
      </c>
      <c r="B84" s="6">
        <f t="shared" si="22"/>
        <v>4</v>
      </c>
      <c r="C84" s="7">
        <v>859</v>
      </c>
      <c r="D84" s="7" t="s">
        <v>51</v>
      </c>
      <c r="E84" s="52" t="s">
        <v>89</v>
      </c>
      <c r="F84" s="28" t="s">
        <v>0</v>
      </c>
      <c r="G84" s="31" t="s">
        <v>88</v>
      </c>
      <c r="H84" s="39">
        <v>247</v>
      </c>
      <c r="I84" s="15">
        <v>223</v>
      </c>
      <c r="J84" s="53" t="s">
        <v>19</v>
      </c>
      <c r="K84" s="32"/>
    </row>
    <row r="85" spans="1:11" s="10" customFormat="1" x14ac:dyDescent="0.25">
      <c r="A85" s="6" t="s">
        <v>48</v>
      </c>
      <c r="B85" s="6">
        <f t="shared" si="14"/>
        <v>4</v>
      </c>
      <c r="C85" s="7">
        <v>859</v>
      </c>
      <c r="D85" s="7" t="s">
        <v>51</v>
      </c>
      <c r="E85" s="42" t="s">
        <v>70</v>
      </c>
      <c r="F85" s="28" t="s">
        <v>0</v>
      </c>
      <c r="G85" s="33"/>
      <c r="H85" s="9">
        <v>111</v>
      </c>
      <c r="I85" s="9">
        <v>211</v>
      </c>
      <c r="J85" s="53" t="s">
        <v>15</v>
      </c>
      <c r="K85" s="32">
        <v>8243054</v>
      </c>
    </row>
    <row r="86" spans="1:11" s="10" customFormat="1" x14ac:dyDescent="0.25">
      <c r="A86" s="6" t="s">
        <v>48</v>
      </c>
      <c r="B86" s="6">
        <f t="shared" si="14"/>
        <v>4</v>
      </c>
      <c r="C86" s="7">
        <v>859</v>
      </c>
      <c r="D86" s="7" t="s">
        <v>51</v>
      </c>
      <c r="E86" s="42" t="s">
        <v>70</v>
      </c>
      <c r="F86" s="28" t="s">
        <v>0</v>
      </c>
      <c r="G86" s="33"/>
      <c r="H86" s="12">
        <v>119</v>
      </c>
      <c r="I86" s="12">
        <v>213</v>
      </c>
      <c r="J86" s="53" t="s">
        <v>14</v>
      </c>
      <c r="K86" s="32">
        <v>2489402</v>
      </c>
    </row>
    <row r="87" spans="1:11" s="10" customFormat="1" x14ac:dyDescent="0.25">
      <c r="A87" s="6" t="s">
        <v>47</v>
      </c>
      <c r="B87" s="6">
        <f t="shared" si="14"/>
        <v>4</v>
      </c>
      <c r="C87" s="7">
        <v>859</v>
      </c>
      <c r="D87" s="7" t="s">
        <v>51</v>
      </c>
      <c r="E87" s="42" t="s">
        <v>70</v>
      </c>
      <c r="F87" s="28" t="s">
        <v>0</v>
      </c>
      <c r="G87" s="31" t="s">
        <v>88</v>
      </c>
      <c r="H87" s="9">
        <v>111</v>
      </c>
      <c r="I87" s="9">
        <v>211</v>
      </c>
      <c r="J87" s="53" t="s">
        <v>15</v>
      </c>
      <c r="K87" s="32">
        <v>254940</v>
      </c>
    </row>
    <row r="88" spans="1:11" s="10" customFormat="1" x14ac:dyDescent="0.25">
      <c r="A88" s="6" t="s">
        <v>47</v>
      </c>
      <c r="B88" s="6">
        <f t="shared" si="14"/>
        <v>4</v>
      </c>
      <c r="C88" s="7">
        <v>859</v>
      </c>
      <c r="D88" s="7" t="s">
        <v>51</v>
      </c>
      <c r="E88" s="42" t="s">
        <v>70</v>
      </c>
      <c r="F88" s="28" t="s">
        <v>0</v>
      </c>
      <c r="G88" s="31" t="s">
        <v>88</v>
      </c>
      <c r="H88" s="12">
        <v>119</v>
      </c>
      <c r="I88" s="12">
        <v>213</v>
      </c>
      <c r="J88" s="53" t="s">
        <v>14</v>
      </c>
      <c r="K88" s="32">
        <v>76992</v>
      </c>
    </row>
    <row r="89" spans="1:11" s="10" customFormat="1" x14ac:dyDescent="0.25">
      <c r="A89" s="6" t="s">
        <v>47</v>
      </c>
      <c r="B89" s="6">
        <f t="shared" si="14"/>
        <v>5</v>
      </c>
      <c r="C89" s="7">
        <v>859</v>
      </c>
      <c r="D89" s="7" t="s">
        <v>51</v>
      </c>
      <c r="E89" s="21" t="s">
        <v>81</v>
      </c>
      <c r="F89" s="28" t="s">
        <v>44</v>
      </c>
      <c r="G89" s="31" t="s">
        <v>45</v>
      </c>
      <c r="H89" s="13">
        <v>244</v>
      </c>
      <c r="I89" s="19">
        <v>340</v>
      </c>
      <c r="J89" s="53" t="s">
        <v>82</v>
      </c>
      <c r="K89" s="32">
        <f>33100-750</f>
        <v>32350</v>
      </c>
    </row>
    <row r="90" spans="1:11" s="10" customFormat="1" x14ac:dyDescent="0.25">
      <c r="A90" s="6" t="s">
        <v>72</v>
      </c>
      <c r="B90" s="6">
        <f t="shared" si="14"/>
        <v>5</v>
      </c>
      <c r="C90" s="7">
        <v>859</v>
      </c>
      <c r="D90" s="7" t="s">
        <v>51</v>
      </c>
      <c r="E90" s="46" t="s">
        <v>76</v>
      </c>
      <c r="F90" s="28" t="s">
        <v>44</v>
      </c>
      <c r="G90" s="40"/>
      <c r="H90" s="13">
        <v>244</v>
      </c>
      <c r="I90" s="19">
        <v>340</v>
      </c>
      <c r="J90" s="53" t="s">
        <v>32</v>
      </c>
      <c r="K90" s="32">
        <v>3745826.13</v>
      </c>
    </row>
    <row r="91" spans="1:11" s="10" customFormat="1" x14ac:dyDescent="0.25">
      <c r="A91" s="6" t="s">
        <v>48</v>
      </c>
      <c r="B91" s="6">
        <f t="shared" si="14"/>
        <v>5</v>
      </c>
      <c r="C91" s="7">
        <v>859</v>
      </c>
      <c r="D91" s="7" t="s">
        <v>51</v>
      </c>
      <c r="E91" s="46" t="s">
        <v>76</v>
      </c>
      <c r="F91" s="28" t="s">
        <v>44</v>
      </c>
      <c r="G91" s="40"/>
      <c r="H91" s="13">
        <v>244</v>
      </c>
      <c r="I91" s="19">
        <v>340</v>
      </c>
      <c r="J91" s="53" t="s">
        <v>32</v>
      </c>
      <c r="K91" s="32">
        <v>235950.3</v>
      </c>
    </row>
    <row r="92" spans="1:11" s="10" customFormat="1" x14ac:dyDescent="0.25">
      <c r="A92" s="6" t="s">
        <v>47</v>
      </c>
      <c r="B92" s="6">
        <f t="shared" si="14"/>
        <v>5</v>
      </c>
      <c r="C92" s="7">
        <v>859</v>
      </c>
      <c r="D92" s="7" t="s">
        <v>51</v>
      </c>
      <c r="E92" s="46" t="s">
        <v>76</v>
      </c>
      <c r="F92" s="28" t="s">
        <v>44</v>
      </c>
      <c r="G92" s="40"/>
      <c r="H92" s="13">
        <v>244</v>
      </c>
      <c r="I92" s="19">
        <v>340</v>
      </c>
      <c r="J92" s="53" t="s">
        <v>32</v>
      </c>
      <c r="K92" s="32">
        <v>38948.129999999997</v>
      </c>
    </row>
    <row r="93" spans="1:11" s="10" customFormat="1" x14ac:dyDescent="0.25">
      <c r="A93" s="6" t="s">
        <v>48</v>
      </c>
      <c r="B93" s="6">
        <f t="shared" si="14"/>
        <v>5</v>
      </c>
      <c r="C93" s="7">
        <v>859</v>
      </c>
      <c r="D93" s="7" t="s">
        <v>51</v>
      </c>
      <c r="E93" s="27" t="s">
        <v>77</v>
      </c>
      <c r="F93" s="28" t="s">
        <v>44</v>
      </c>
      <c r="G93" s="31"/>
      <c r="H93" s="13">
        <v>244</v>
      </c>
      <c r="I93" s="19">
        <v>340</v>
      </c>
      <c r="J93" s="53" t="s">
        <v>32</v>
      </c>
      <c r="K93" s="32">
        <v>1089100</v>
      </c>
    </row>
    <row r="94" spans="1:11" s="10" customFormat="1" x14ac:dyDescent="0.25">
      <c r="A94" s="6" t="s">
        <v>47</v>
      </c>
      <c r="B94" s="6">
        <f t="shared" si="14"/>
        <v>5</v>
      </c>
      <c r="C94" s="7">
        <v>859</v>
      </c>
      <c r="D94" s="7" t="s">
        <v>51</v>
      </c>
      <c r="E94" s="27" t="s">
        <v>77</v>
      </c>
      <c r="F94" s="28" t="s">
        <v>44</v>
      </c>
      <c r="G94" s="31" t="s">
        <v>45</v>
      </c>
      <c r="H94" s="13">
        <v>244</v>
      </c>
      <c r="I94" s="19">
        <v>340</v>
      </c>
      <c r="J94" s="53" t="s">
        <v>32</v>
      </c>
      <c r="K94" s="32">
        <v>980700</v>
      </c>
    </row>
    <row r="95" spans="1:11" s="10" customFormat="1" x14ac:dyDescent="0.25">
      <c r="A95" s="6" t="s">
        <v>48</v>
      </c>
      <c r="B95" s="6">
        <f t="shared" ref="B95:B96" si="23">IF(F95="611",4,IF(F95="612",5, ))</f>
        <v>5</v>
      </c>
      <c r="C95" s="7">
        <v>859</v>
      </c>
      <c r="D95" s="7" t="s">
        <v>51</v>
      </c>
      <c r="E95" s="43" t="s">
        <v>97</v>
      </c>
      <c r="F95" s="28" t="s">
        <v>44</v>
      </c>
      <c r="G95" s="31"/>
      <c r="H95" s="11">
        <v>321</v>
      </c>
      <c r="I95" s="25">
        <v>262</v>
      </c>
      <c r="J95" s="53" t="s">
        <v>80</v>
      </c>
      <c r="K95" s="32">
        <v>386215</v>
      </c>
    </row>
    <row r="96" spans="1:11" s="10" customFormat="1" x14ac:dyDescent="0.25">
      <c r="A96" s="6" t="s">
        <v>47</v>
      </c>
      <c r="B96" s="6">
        <f t="shared" si="23"/>
        <v>5</v>
      </c>
      <c r="C96" s="7">
        <v>859</v>
      </c>
      <c r="D96" s="7" t="s">
        <v>51</v>
      </c>
      <c r="E96" s="43" t="s">
        <v>97</v>
      </c>
      <c r="F96" s="28" t="s">
        <v>44</v>
      </c>
      <c r="G96" s="31" t="s">
        <v>45</v>
      </c>
      <c r="H96" s="11">
        <v>321</v>
      </c>
      <c r="I96" s="25">
        <v>262</v>
      </c>
      <c r="J96" s="53" t="s">
        <v>80</v>
      </c>
      <c r="K96" s="32">
        <v>10950</v>
      </c>
    </row>
    <row r="97" spans="1:11" s="10" customFormat="1" ht="30" x14ac:dyDescent="0.25">
      <c r="A97" s="6" t="s">
        <v>47</v>
      </c>
      <c r="B97" s="6">
        <f t="shared" ref="B97:B100" si="24">IF(F97="611",4,IF(F97="612",5, ))</f>
        <v>5</v>
      </c>
      <c r="C97" s="7">
        <v>859</v>
      </c>
      <c r="D97" s="7" t="s">
        <v>51</v>
      </c>
      <c r="E97" s="48" t="s">
        <v>60</v>
      </c>
      <c r="F97" s="28" t="s">
        <v>44</v>
      </c>
      <c r="G97" s="31" t="s">
        <v>45</v>
      </c>
      <c r="H97" s="11">
        <v>112</v>
      </c>
      <c r="I97" s="25">
        <v>262</v>
      </c>
      <c r="J97" s="53" t="s">
        <v>61</v>
      </c>
      <c r="K97" s="32">
        <f>75000</f>
        <v>75000</v>
      </c>
    </row>
    <row r="98" spans="1:11" s="10" customFormat="1" x14ac:dyDescent="0.25">
      <c r="A98" s="6" t="s">
        <v>47</v>
      </c>
      <c r="B98" s="6">
        <f t="shared" si="24"/>
        <v>5</v>
      </c>
      <c r="C98" s="7">
        <v>859</v>
      </c>
      <c r="D98" s="7" t="s">
        <v>51</v>
      </c>
      <c r="E98" s="47" t="s">
        <v>62</v>
      </c>
      <c r="F98" s="28" t="s">
        <v>44</v>
      </c>
      <c r="G98" s="31" t="s">
        <v>45</v>
      </c>
      <c r="H98" s="11">
        <v>112</v>
      </c>
      <c r="I98" s="25">
        <v>262</v>
      </c>
      <c r="J98" s="53" t="s">
        <v>63</v>
      </c>
      <c r="K98" s="32">
        <f>7500*12</f>
        <v>90000</v>
      </c>
    </row>
    <row r="99" spans="1:11" s="10" customFormat="1" x14ac:dyDescent="0.25">
      <c r="A99" s="6" t="s">
        <v>47</v>
      </c>
      <c r="B99" s="6">
        <f t="shared" ref="B99" si="25">IF(F99="611",4,IF(F99="612",5, ))</f>
        <v>5</v>
      </c>
      <c r="C99" s="7">
        <v>859</v>
      </c>
      <c r="D99" s="7" t="s">
        <v>51</v>
      </c>
      <c r="E99" s="47" t="s">
        <v>98</v>
      </c>
      <c r="F99" s="28" t="s">
        <v>44</v>
      </c>
      <c r="G99" s="31" t="s">
        <v>45</v>
      </c>
      <c r="H99" s="11">
        <v>360</v>
      </c>
      <c r="I99" s="25">
        <v>262</v>
      </c>
      <c r="J99" s="53" t="s">
        <v>99</v>
      </c>
      <c r="K99" s="32">
        <v>60000</v>
      </c>
    </row>
    <row r="100" spans="1:11" s="10" customFormat="1" x14ac:dyDescent="0.25">
      <c r="A100" s="6" t="s">
        <v>47</v>
      </c>
      <c r="B100" s="6">
        <f t="shared" si="24"/>
        <v>5</v>
      </c>
      <c r="C100" s="7">
        <v>859</v>
      </c>
      <c r="D100" s="7" t="s">
        <v>64</v>
      </c>
      <c r="E100" s="49" t="s">
        <v>65</v>
      </c>
      <c r="F100" s="28" t="s">
        <v>44</v>
      </c>
      <c r="G100" s="31" t="s">
        <v>68</v>
      </c>
      <c r="H100" s="13">
        <v>244</v>
      </c>
      <c r="I100" s="19">
        <v>340</v>
      </c>
      <c r="J100" s="53" t="s">
        <v>87</v>
      </c>
      <c r="K100" s="32">
        <f>1250000</f>
        <v>1250000</v>
      </c>
    </row>
    <row r="101" spans="1:11" s="10" customFormat="1" x14ac:dyDescent="0.25">
      <c r="A101" s="6" t="s">
        <v>48</v>
      </c>
      <c r="B101" s="6">
        <f>IF(F101="611",4,IF(F101="612",5, ))</f>
        <v>5</v>
      </c>
      <c r="C101" s="7">
        <v>859</v>
      </c>
      <c r="D101" s="7" t="s">
        <v>64</v>
      </c>
      <c r="E101" s="50" t="s">
        <v>66</v>
      </c>
      <c r="F101" s="28" t="s">
        <v>44</v>
      </c>
      <c r="G101" s="31"/>
      <c r="H101" s="15">
        <v>323</v>
      </c>
      <c r="I101" s="19">
        <v>340</v>
      </c>
      <c r="J101" s="53" t="s">
        <v>91</v>
      </c>
      <c r="K101" s="32">
        <v>646400</v>
      </c>
    </row>
    <row r="102" spans="1:11" s="10" customFormat="1" x14ac:dyDescent="0.25">
      <c r="A102" s="6" t="s">
        <v>48</v>
      </c>
      <c r="B102" s="6">
        <f>IF(F102="611",4,IF(F102="612",5, ))</f>
        <v>5</v>
      </c>
      <c r="C102" s="7">
        <v>859</v>
      </c>
      <c r="D102" s="7" t="s">
        <v>64</v>
      </c>
      <c r="E102" s="51" t="s">
        <v>67</v>
      </c>
      <c r="F102" s="28" t="s">
        <v>44</v>
      </c>
      <c r="G102" s="31"/>
      <c r="H102" s="15">
        <v>323</v>
      </c>
      <c r="I102" s="19">
        <v>340</v>
      </c>
      <c r="J102" s="53" t="s">
        <v>92</v>
      </c>
      <c r="K102" s="32">
        <v>451900</v>
      </c>
    </row>
    <row r="103" spans="1:11" s="10" customFormat="1" x14ac:dyDescent="0.25">
      <c r="A103" s="6" t="s">
        <v>72</v>
      </c>
      <c r="B103" s="6">
        <f t="shared" ref="B103:B104" si="26">IF(F103="611",4,IF(F103="612",5, ))</f>
        <v>5</v>
      </c>
      <c r="C103" s="7">
        <v>859</v>
      </c>
      <c r="D103" s="7" t="s">
        <v>69</v>
      </c>
      <c r="E103" s="44" t="s">
        <v>96</v>
      </c>
      <c r="F103" s="28" t="s">
        <v>44</v>
      </c>
      <c r="G103" s="31"/>
      <c r="H103" s="9">
        <v>111</v>
      </c>
      <c r="I103" s="9">
        <v>211</v>
      </c>
      <c r="J103" s="53" t="s">
        <v>74</v>
      </c>
      <c r="K103" s="32">
        <f>ROUND(334985*0.98,2)-11516.21</f>
        <v>316769.08999999997</v>
      </c>
    </row>
    <row r="104" spans="1:11" s="10" customFormat="1" x14ac:dyDescent="0.25">
      <c r="A104" s="6" t="s">
        <v>72</v>
      </c>
      <c r="B104" s="6">
        <f t="shared" si="26"/>
        <v>5</v>
      </c>
      <c r="C104" s="7">
        <v>859</v>
      </c>
      <c r="D104" s="7" t="s">
        <v>69</v>
      </c>
      <c r="E104" s="44" t="s">
        <v>96</v>
      </c>
      <c r="F104" s="28" t="s">
        <v>44</v>
      </c>
      <c r="G104" s="31"/>
      <c r="H104" s="12">
        <v>119</v>
      </c>
      <c r="I104" s="12">
        <v>213</v>
      </c>
      <c r="J104" s="53" t="s">
        <v>75</v>
      </c>
      <c r="K104" s="32">
        <f>ROUND(101165*0.98,2)-3477.89</f>
        <v>95663.81</v>
      </c>
    </row>
    <row r="105" spans="1:11" s="10" customFormat="1" x14ac:dyDescent="0.25">
      <c r="A105" s="6" t="s">
        <v>48</v>
      </c>
      <c r="B105" s="6">
        <f t="shared" ref="B105:B106" si="27">IF(F105="611",4,IF(F105="612",5, ))</f>
        <v>5</v>
      </c>
      <c r="C105" s="7">
        <v>859</v>
      </c>
      <c r="D105" s="7" t="s">
        <v>69</v>
      </c>
      <c r="E105" s="44" t="s">
        <v>96</v>
      </c>
      <c r="F105" s="28" t="s">
        <v>44</v>
      </c>
      <c r="G105" s="31"/>
      <c r="H105" s="9">
        <v>111</v>
      </c>
      <c r="I105" s="9">
        <v>211</v>
      </c>
      <c r="J105" s="53" t="s">
        <v>74</v>
      </c>
      <c r="K105" s="32">
        <f>ROUND(334985*0.02,2)-234.95</f>
        <v>6464.75</v>
      </c>
    </row>
    <row r="106" spans="1:11" s="10" customFormat="1" x14ac:dyDescent="0.25">
      <c r="A106" s="6" t="s">
        <v>48</v>
      </c>
      <c r="B106" s="6">
        <f t="shared" si="27"/>
        <v>5</v>
      </c>
      <c r="C106" s="7">
        <v>859</v>
      </c>
      <c r="D106" s="7" t="s">
        <v>69</v>
      </c>
      <c r="E106" s="44" t="s">
        <v>96</v>
      </c>
      <c r="F106" s="28" t="s">
        <v>44</v>
      </c>
      <c r="G106" s="31"/>
      <c r="H106" s="12">
        <v>119</v>
      </c>
      <c r="I106" s="12">
        <v>213</v>
      </c>
      <c r="J106" s="53" t="s">
        <v>75</v>
      </c>
      <c r="K106" s="32">
        <f>ROUND(101165*0.02,2)-70.95</f>
        <v>1952.35</v>
      </c>
    </row>
    <row r="107" spans="1:11" s="10" customFormat="1" x14ac:dyDescent="0.25">
      <c r="C107" s="22"/>
      <c r="D107" s="22"/>
      <c r="E107" s="22"/>
      <c r="F107" s="22"/>
      <c r="G107" s="22"/>
      <c r="K107" s="36">
        <f>SUM(K3:K106)</f>
        <v>85539264.959999993</v>
      </c>
    </row>
    <row r="108" spans="1:11" s="10" customFormat="1" x14ac:dyDescent="0.25">
      <c r="C108" s="22"/>
      <c r="D108" s="22"/>
      <c r="E108" s="22"/>
      <c r="F108" s="22"/>
      <c r="G108" s="22"/>
      <c r="K108" s="38"/>
    </row>
    <row r="109" spans="1:11" s="10" customFormat="1" x14ac:dyDescent="0.25">
      <c r="C109" s="22"/>
      <c r="D109" s="22"/>
      <c r="E109" s="22"/>
      <c r="F109" s="22"/>
      <c r="G109" s="22"/>
      <c r="K109" s="38"/>
    </row>
    <row r="110" spans="1:11" s="10" customFormat="1" x14ac:dyDescent="0.25">
      <c r="C110" s="22"/>
      <c r="D110" s="22"/>
      <c r="E110" s="22"/>
      <c r="F110" s="22"/>
      <c r="G110" s="22"/>
      <c r="K110" s="38"/>
    </row>
    <row r="111" spans="1:11" s="10" customFormat="1" x14ac:dyDescent="0.25">
      <c r="C111" s="22"/>
      <c r="D111" s="22"/>
      <c r="E111" s="22"/>
      <c r="F111" s="22"/>
      <c r="G111" s="22"/>
      <c r="K111" s="38"/>
    </row>
    <row r="112" spans="1:11" s="10" customFormat="1" x14ac:dyDescent="0.25">
      <c r="C112" s="22"/>
      <c r="D112" s="22"/>
      <c r="E112" s="22"/>
      <c r="F112" s="22"/>
      <c r="G112" s="22"/>
      <c r="K112" s="38"/>
    </row>
    <row r="113" spans="3:11" s="10" customFormat="1" x14ac:dyDescent="0.25">
      <c r="C113" s="22"/>
      <c r="D113" s="22"/>
      <c r="E113" s="22"/>
      <c r="F113" s="22"/>
      <c r="G113" s="22"/>
      <c r="K113" s="38"/>
    </row>
    <row r="114" spans="3:11" s="10" customFormat="1" x14ac:dyDescent="0.25">
      <c r="C114" s="22"/>
      <c r="D114" s="22"/>
      <c r="E114" s="22"/>
      <c r="F114" s="22"/>
      <c r="G114" s="22"/>
      <c r="K114" s="37"/>
    </row>
    <row r="115" spans="3:11" s="10" customFormat="1" x14ac:dyDescent="0.25">
      <c r="C115" s="22"/>
      <c r="D115" s="22"/>
      <c r="E115" s="22"/>
      <c r="F115" s="22"/>
      <c r="G115" s="22"/>
      <c r="K115" s="37"/>
    </row>
    <row r="116" spans="3:11" s="10" customFormat="1" x14ac:dyDescent="0.25">
      <c r="C116" s="22"/>
      <c r="D116" s="22"/>
      <c r="E116" s="22"/>
      <c r="F116" s="22"/>
      <c r="G116" s="22"/>
      <c r="K116" s="37"/>
    </row>
    <row r="117" spans="3:11" s="10" customFormat="1" x14ac:dyDescent="0.25">
      <c r="C117" s="22"/>
      <c r="D117" s="22"/>
      <c r="E117" s="22"/>
      <c r="F117" s="22"/>
      <c r="G117" s="22"/>
      <c r="K117" s="37"/>
    </row>
    <row r="118" spans="3:11" s="10" customFormat="1" x14ac:dyDescent="0.25">
      <c r="C118" s="22"/>
      <c r="D118" s="22"/>
      <c r="E118" s="22"/>
      <c r="F118" s="22"/>
      <c r="G118" s="22"/>
      <c r="K118" s="37"/>
    </row>
    <row r="119" spans="3:11" s="10" customFormat="1" x14ac:dyDescent="0.25">
      <c r="C119" s="22"/>
      <c r="D119" s="22"/>
      <c r="E119" s="22"/>
      <c r="F119" s="22"/>
      <c r="G119" s="22"/>
      <c r="K119" s="37"/>
    </row>
    <row r="120" spans="3:11" s="10" customFormat="1" x14ac:dyDescent="0.25">
      <c r="C120" s="22"/>
      <c r="D120" s="22"/>
      <c r="E120" s="22"/>
      <c r="F120" s="22"/>
      <c r="G120" s="22"/>
      <c r="K120" s="37"/>
    </row>
    <row r="121" spans="3:11" s="10" customFormat="1" x14ac:dyDescent="0.25">
      <c r="C121" s="22"/>
      <c r="D121" s="22"/>
      <c r="E121" s="22"/>
      <c r="F121" s="22"/>
      <c r="G121" s="22"/>
      <c r="K121" s="37"/>
    </row>
    <row r="122" spans="3:11" s="10" customFormat="1" x14ac:dyDescent="0.25">
      <c r="C122" s="22"/>
      <c r="D122" s="22"/>
      <c r="E122" s="22"/>
      <c r="F122" s="22"/>
      <c r="G122" s="22"/>
      <c r="K122" s="37"/>
    </row>
    <row r="123" spans="3:11" s="10" customFormat="1" x14ac:dyDescent="0.25">
      <c r="C123" s="22"/>
      <c r="D123" s="22"/>
      <c r="E123" s="22"/>
      <c r="F123" s="22"/>
      <c r="G123" s="22"/>
      <c r="K123" s="37"/>
    </row>
    <row r="124" spans="3:11" s="10" customFormat="1" x14ac:dyDescent="0.25">
      <c r="C124" s="22"/>
      <c r="D124" s="22"/>
      <c r="E124" s="22"/>
      <c r="F124" s="22"/>
      <c r="G124" s="22"/>
      <c r="K124" s="37"/>
    </row>
    <row r="125" spans="3:11" s="10" customFormat="1" x14ac:dyDescent="0.25">
      <c r="C125" s="22"/>
      <c r="D125" s="22"/>
      <c r="E125" s="22"/>
      <c r="F125" s="22"/>
      <c r="G125" s="22"/>
      <c r="K125" s="37"/>
    </row>
    <row r="126" spans="3:11" s="10" customFormat="1" x14ac:dyDescent="0.25">
      <c r="C126" s="22"/>
      <c r="D126" s="22"/>
      <c r="E126" s="22"/>
      <c r="F126" s="22"/>
      <c r="G126" s="22"/>
      <c r="K126" s="37"/>
    </row>
    <row r="127" spans="3:11" x14ac:dyDescent="0.25">
      <c r="C127" s="24"/>
      <c r="D127" s="24"/>
      <c r="E127" s="24"/>
      <c r="F127" s="24"/>
      <c r="G127" s="24"/>
    </row>
    <row r="128" spans="3:11" x14ac:dyDescent="0.25">
      <c r="C128" s="24"/>
      <c r="D128" s="24"/>
      <c r="E128" s="24"/>
      <c r="F128" s="24"/>
      <c r="G128" s="24"/>
    </row>
    <row r="129" spans="3:7" x14ac:dyDescent="0.25">
      <c r="C129" s="24"/>
      <c r="D129" s="24"/>
      <c r="E129" s="24"/>
      <c r="F129" s="24"/>
      <c r="G129" s="24"/>
    </row>
    <row r="130" spans="3:7" x14ac:dyDescent="0.25">
      <c r="C130" s="24"/>
      <c r="D130" s="24"/>
      <c r="E130" s="24"/>
      <c r="F130" s="24"/>
      <c r="G130" s="24"/>
    </row>
    <row r="131" spans="3:7" x14ac:dyDescent="0.25">
      <c r="C131" s="24"/>
      <c r="D131" s="24"/>
      <c r="E131" s="24"/>
      <c r="F131" s="24"/>
      <c r="G131" s="24"/>
    </row>
    <row r="132" spans="3:7" x14ac:dyDescent="0.25">
      <c r="C132" s="24"/>
      <c r="D132" s="24"/>
      <c r="E132" s="24"/>
      <c r="F132" s="24"/>
      <c r="G132" s="24"/>
    </row>
    <row r="133" spans="3:7" x14ac:dyDescent="0.25">
      <c r="C133" s="24"/>
      <c r="D133" s="24"/>
      <c r="E133" s="24"/>
      <c r="F133" s="24"/>
      <c r="G133" s="24"/>
    </row>
    <row r="134" spans="3:7" x14ac:dyDescent="0.25">
      <c r="C134" s="24"/>
      <c r="D134" s="24"/>
      <c r="E134" s="24"/>
      <c r="F134" s="24"/>
      <c r="G134" s="24"/>
    </row>
    <row r="135" spans="3:7" x14ac:dyDescent="0.25">
      <c r="C135" s="24"/>
      <c r="D135" s="24"/>
      <c r="E135" s="24"/>
      <c r="F135" s="24"/>
      <c r="G135" s="24"/>
    </row>
    <row r="136" spans="3:7" x14ac:dyDescent="0.25">
      <c r="C136" s="24"/>
      <c r="D136" s="24"/>
      <c r="E136" s="24"/>
      <c r="F136" s="24"/>
      <c r="G136" s="24"/>
    </row>
    <row r="137" spans="3:7" x14ac:dyDescent="0.25">
      <c r="C137" s="24"/>
      <c r="D137" s="24"/>
      <c r="E137" s="24"/>
      <c r="F137" s="24"/>
      <c r="G137" s="24"/>
    </row>
    <row r="138" spans="3:7" x14ac:dyDescent="0.25">
      <c r="C138" s="24"/>
      <c r="D138" s="24"/>
      <c r="E138" s="24"/>
      <c r="F138" s="24"/>
      <c r="G138" s="24"/>
    </row>
    <row r="139" spans="3:7" x14ac:dyDescent="0.25">
      <c r="C139" s="24"/>
      <c r="D139" s="24"/>
      <c r="E139" s="24"/>
      <c r="F139" s="24"/>
      <c r="G139" s="24"/>
    </row>
    <row r="140" spans="3:7" x14ac:dyDescent="0.25">
      <c r="C140" s="24"/>
      <c r="D140" s="24"/>
      <c r="E140" s="24"/>
      <c r="F140" s="24"/>
      <c r="G140" s="24"/>
    </row>
    <row r="141" spans="3:7" x14ac:dyDescent="0.25">
      <c r="C141" s="24"/>
      <c r="D141" s="24"/>
      <c r="E141" s="24"/>
      <c r="F141" s="24"/>
      <c r="G141" s="24"/>
    </row>
    <row r="142" spans="3:7" x14ac:dyDescent="0.25">
      <c r="C142" s="24"/>
      <c r="D142" s="24"/>
      <c r="E142" s="24"/>
      <c r="F142" s="24"/>
      <c r="G142" s="24"/>
    </row>
    <row r="143" spans="3:7" x14ac:dyDescent="0.25">
      <c r="C143" s="24"/>
      <c r="D143" s="24"/>
      <c r="E143" s="24"/>
      <c r="F143" s="24"/>
      <c r="G143" s="24"/>
    </row>
    <row r="144" spans="3:7" x14ac:dyDescent="0.25">
      <c r="C144" s="24"/>
      <c r="D144" s="24"/>
      <c r="E144" s="24"/>
      <c r="F144" s="24"/>
      <c r="G144" s="24"/>
    </row>
    <row r="145" spans="3:7" x14ac:dyDescent="0.25">
      <c r="C145" s="24"/>
      <c r="D145" s="24"/>
      <c r="E145" s="24"/>
      <c r="F145" s="24"/>
      <c r="G145" s="24"/>
    </row>
    <row r="146" spans="3:7" x14ac:dyDescent="0.25">
      <c r="C146" s="24"/>
      <c r="D146" s="24"/>
      <c r="E146" s="24"/>
      <c r="F146" s="24"/>
      <c r="G146" s="24"/>
    </row>
    <row r="147" spans="3:7" x14ac:dyDescent="0.25">
      <c r="C147" s="24"/>
      <c r="D147" s="24"/>
      <c r="E147" s="24"/>
      <c r="F147" s="24"/>
      <c r="G147" s="24"/>
    </row>
    <row r="148" spans="3:7" x14ac:dyDescent="0.25">
      <c r="C148" s="24"/>
      <c r="D148" s="24"/>
      <c r="E148" s="24"/>
      <c r="F148" s="24"/>
      <c r="G148" s="24"/>
    </row>
    <row r="149" spans="3:7" x14ac:dyDescent="0.25">
      <c r="C149" s="24"/>
      <c r="D149" s="24"/>
      <c r="E149" s="24"/>
      <c r="F149" s="24"/>
      <c r="G149" s="24"/>
    </row>
    <row r="150" spans="3:7" x14ac:dyDescent="0.25">
      <c r="C150" s="24"/>
      <c r="D150" s="24"/>
      <c r="E150" s="24"/>
      <c r="F150" s="24"/>
      <c r="G150" s="24"/>
    </row>
    <row r="151" spans="3:7" x14ac:dyDescent="0.25">
      <c r="C151" s="24"/>
      <c r="D151" s="24"/>
      <c r="E151" s="24"/>
      <c r="F151" s="24"/>
      <c r="G151" s="24"/>
    </row>
    <row r="152" spans="3:7" x14ac:dyDescent="0.25">
      <c r="C152" s="24"/>
      <c r="D152" s="24"/>
      <c r="E152" s="24"/>
      <c r="F152" s="24"/>
      <c r="G152" s="24"/>
    </row>
    <row r="153" spans="3:7" x14ac:dyDescent="0.25">
      <c r="C153" s="24"/>
      <c r="D153" s="24"/>
      <c r="E153" s="24"/>
      <c r="F153" s="24"/>
      <c r="G153" s="24"/>
    </row>
    <row r="154" spans="3:7" x14ac:dyDescent="0.25">
      <c r="C154" s="24"/>
      <c r="D154" s="24"/>
      <c r="E154" s="24"/>
      <c r="F154" s="24"/>
      <c r="G154" s="24"/>
    </row>
    <row r="155" spans="3:7" x14ac:dyDescent="0.25">
      <c r="C155" s="24"/>
      <c r="D155" s="24"/>
      <c r="E155" s="24"/>
      <c r="F155" s="24"/>
      <c r="G155" s="24"/>
    </row>
    <row r="156" spans="3:7" x14ac:dyDescent="0.25">
      <c r="C156" s="24"/>
      <c r="D156" s="24"/>
      <c r="E156" s="24"/>
      <c r="F156" s="24"/>
      <c r="G156" s="24"/>
    </row>
    <row r="157" spans="3:7" x14ac:dyDescent="0.25">
      <c r="C157" s="24"/>
      <c r="D157" s="24"/>
      <c r="E157" s="24"/>
      <c r="F157" s="24"/>
      <c r="G157" s="24"/>
    </row>
    <row r="158" spans="3:7" x14ac:dyDescent="0.25">
      <c r="C158" s="24"/>
      <c r="D158" s="24"/>
      <c r="E158" s="24"/>
      <c r="F158" s="24"/>
      <c r="G158" s="24"/>
    </row>
    <row r="159" spans="3:7" x14ac:dyDescent="0.25">
      <c r="C159" s="24"/>
      <c r="D159" s="24"/>
      <c r="E159" s="24"/>
      <c r="F159" s="24"/>
      <c r="G159" s="24"/>
    </row>
    <row r="160" spans="3:7" x14ac:dyDescent="0.25">
      <c r="C160" s="24"/>
      <c r="D160" s="24"/>
      <c r="E160" s="24"/>
      <c r="F160" s="24"/>
      <c r="G160" s="24"/>
    </row>
    <row r="161" spans="3:7" x14ac:dyDescent="0.25">
      <c r="C161" s="24"/>
      <c r="D161" s="24"/>
      <c r="E161" s="24"/>
      <c r="F161" s="24"/>
      <c r="G161" s="24"/>
    </row>
    <row r="162" spans="3:7" x14ac:dyDescent="0.25">
      <c r="C162" s="24"/>
      <c r="D162" s="24"/>
      <c r="E162" s="24"/>
      <c r="F162" s="24"/>
      <c r="G162" s="24"/>
    </row>
    <row r="163" spans="3:7" x14ac:dyDescent="0.25">
      <c r="C163" s="24"/>
      <c r="D163" s="24"/>
      <c r="E163" s="24"/>
      <c r="F163" s="24"/>
      <c r="G163" s="24"/>
    </row>
    <row r="164" spans="3:7" x14ac:dyDescent="0.25">
      <c r="C164" s="24"/>
      <c r="D164" s="24"/>
      <c r="E164" s="24"/>
      <c r="F164" s="24"/>
      <c r="G164" s="24"/>
    </row>
    <row r="165" spans="3:7" x14ac:dyDescent="0.25">
      <c r="C165" s="24"/>
      <c r="D165" s="24"/>
      <c r="E165" s="24"/>
      <c r="F165" s="24"/>
      <c r="G165" s="24"/>
    </row>
    <row r="166" spans="3:7" x14ac:dyDescent="0.25">
      <c r="C166" s="24"/>
      <c r="D166" s="24"/>
      <c r="E166" s="24"/>
      <c r="F166" s="24"/>
      <c r="G166" s="24"/>
    </row>
    <row r="167" spans="3:7" x14ac:dyDescent="0.25">
      <c r="C167" s="24"/>
      <c r="D167" s="24"/>
      <c r="E167" s="24"/>
      <c r="F167" s="24"/>
      <c r="G167" s="24"/>
    </row>
    <row r="168" spans="3:7" x14ac:dyDescent="0.25">
      <c r="C168" s="24"/>
      <c r="D168" s="24"/>
      <c r="E168" s="24"/>
      <c r="F168" s="24"/>
      <c r="G168" s="24"/>
    </row>
    <row r="169" spans="3:7" x14ac:dyDescent="0.25">
      <c r="C169" s="24"/>
      <c r="D169" s="24"/>
      <c r="E169" s="24"/>
      <c r="F169" s="24"/>
      <c r="G169" s="24"/>
    </row>
    <row r="170" spans="3:7" x14ac:dyDescent="0.25">
      <c r="C170" s="24"/>
      <c r="D170" s="24"/>
      <c r="E170" s="24"/>
      <c r="F170" s="24"/>
      <c r="G170" s="24"/>
    </row>
    <row r="171" spans="3:7" x14ac:dyDescent="0.25">
      <c r="C171" s="24"/>
      <c r="D171" s="24"/>
      <c r="E171" s="24"/>
      <c r="F171" s="24"/>
      <c r="G171" s="24"/>
    </row>
    <row r="172" spans="3:7" x14ac:dyDescent="0.25">
      <c r="C172" s="24"/>
      <c r="D172" s="24"/>
      <c r="E172" s="24"/>
      <c r="F172" s="24"/>
      <c r="G172" s="24"/>
    </row>
    <row r="173" spans="3:7" x14ac:dyDescent="0.25">
      <c r="C173" s="24"/>
      <c r="D173" s="24"/>
      <c r="E173" s="24"/>
      <c r="F173" s="24"/>
      <c r="G173" s="24"/>
    </row>
    <row r="174" spans="3:7" x14ac:dyDescent="0.25">
      <c r="C174" s="24"/>
      <c r="D174" s="24"/>
      <c r="E174" s="24"/>
      <c r="F174" s="24"/>
      <c r="G174" s="24"/>
    </row>
    <row r="175" spans="3:7" x14ac:dyDescent="0.25">
      <c r="C175" s="24"/>
      <c r="D175" s="24"/>
      <c r="E175" s="24"/>
      <c r="F175" s="24"/>
      <c r="G175" s="24"/>
    </row>
    <row r="176" spans="3:7" x14ac:dyDescent="0.25">
      <c r="C176" s="24"/>
      <c r="D176" s="24"/>
      <c r="E176" s="24"/>
      <c r="F176" s="24"/>
      <c r="G176" s="24"/>
    </row>
    <row r="177" spans="3:7" x14ac:dyDescent="0.25">
      <c r="C177" s="24"/>
      <c r="D177" s="24"/>
      <c r="E177" s="24"/>
      <c r="F177" s="24"/>
      <c r="G177" s="24"/>
    </row>
    <row r="178" spans="3:7" x14ac:dyDescent="0.25">
      <c r="C178" s="24"/>
      <c r="D178" s="24"/>
      <c r="E178" s="24"/>
      <c r="F178" s="24"/>
      <c r="G178" s="24"/>
    </row>
    <row r="179" spans="3:7" x14ac:dyDescent="0.25">
      <c r="C179" s="24"/>
      <c r="D179" s="24"/>
      <c r="E179" s="24"/>
      <c r="F179" s="24"/>
      <c r="G179" s="24"/>
    </row>
    <row r="180" spans="3:7" x14ac:dyDescent="0.25">
      <c r="C180" s="24"/>
      <c r="D180" s="24"/>
      <c r="E180" s="24"/>
      <c r="F180" s="24"/>
      <c r="G180" s="24"/>
    </row>
    <row r="181" spans="3:7" x14ac:dyDescent="0.25">
      <c r="C181" s="24"/>
      <c r="D181" s="24"/>
      <c r="E181" s="24"/>
      <c r="F181" s="24"/>
      <c r="G181" s="24"/>
    </row>
    <row r="182" spans="3:7" x14ac:dyDescent="0.25">
      <c r="C182" s="24"/>
      <c r="D182" s="24"/>
      <c r="E182" s="24"/>
      <c r="F182" s="24"/>
      <c r="G182" s="24"/>
    </row>
    <row r="183" spans="3:7" x14ac:dyDescent="0.25">
      <c r="C183" s="24"/>
      <c r="D183" s="24"/>
      <c r="E183" s="24"/>
      <c r="F183" s="24"/>
      <c r="G183" s="24"/>
    </row>
    <row r="184" spans="3:7" x14ac:dyDescent="0.25">
      <c r="C184" s="24"/>
      <c r="D184" s="24"/>
      <c r="E184" s="24"/>
      <c r="F184" s="24"/>
      <c r="G184" s="24"/>
    </row>
    <row r="185" spans="3:7" x14ac:dyDescent="0.25">
      <c r="C185" s="24"/>
      <c r="D185" s="24"/>
      <c r="E185" s="24"/>
      <c r="F185" s="24"/>
      <c r="G185" s="24"/>
    </row>
    <row r="186" spans="3:7" x14ac:dyDescent="0.25">
      <c r="C186" s="24"/>
      <c r="D186" s="24"/>
      <c r="E186" s="24"/>
      <c r="F186" s="24"/>
      <c r="G186" s="24"/>
    </row>
    <row r="187" spans="3:7" x14ac:dyDescent="0.25">
      <c r="C187" s="24"/>
      <c r="D187" s="24"/>
      <c r="E187" s="24"/>
      <c r="F187" s="24"/>
      <c r="G187" s="24"/>
    </row>
    <row r="188" spans="3:7" x14ac:dyDescent="0.25">
      <c r="C188" s="24"/>
      <c r="D188" s="24"/>
      <c r="E188" s="24"/>
      <c r="F188" s="24"/>
      <c r="G188" s="24"/>
    </row>
    <row r="189" spans="3:7" x14ac:dyDescent="0.25">
      <c r="C189" s="24"/>
      <c r="D189" s="24"/>
      <c r="E189" s="24"/>
      <c r="F189" s="24"/>
      <c r="G189" s="24"/>
    </row>
    <row r="190" spans="3:7" x14ac:dyDescent="0.25">
      <c r="C190" s="24"/>
      <c r="D190" s="24"/>
      <c r="E190" s="24"/>
      <c r="F190" s="24"/>
      <c r="G190" s="24"/>
    </row>
    <row r="191" spans="3:7" x14ac:dyDescent="0.25">
      <c r="C191" s="24"/>
      <c r="D191" s="24"/>
      <c r="E191" s="24"/>
      <c r="F191" s="24"/>
      <c r="G191" s="24"/>
    </row>
    <row r="192" spans="3:7" x14ac:dyDescent="0.25">
      <c r="C192" s="24"/>
      <c r="D192" s="24"/>
      <c r="E192" s="24"/>
      <c r="F192" s="24"/>
      <c r="G192" s="24"/>
    </row>
    <row r="193" spans="3:7" x14ac:dyDescent="0.25">
      <c r="C193" s="24"/>
      <c r="D193" s="24"/>
      <c r="E193" s="24"/>
      <c r="F193" s="24"/>
      <c r="G193" s="24"/>
    </row>
    <row r="194" spans="3:7" x14ac:dyDescent="0.25">
      <c r="C194" s="24"/>
      <c r="D194" s="24"/>
      <c r="E194" s="24"/>
      <c r="F194" s="24"/>
      <c r="G194" s="24"/>
    </row>
    <row r="195" spans="3:7" x14ac:dyDescent="0.25">
      <c r="C195" s="24"/>
      <c r="D195" s="24"/>
      <c r="E195" s="24"/>
      <c r="F195" s="24"/>
      <c r="G195" s="24"/>
    </row>
    <row r="196" spans="3:7" x14ac:dyDescent="0.25">
      <c r="C196" s="24"/>
      <c r="D196" s="24"/>
      <c r="E196" s="24"/>
      <c r="F196" s="24"/>
      <c r="G196" s="24"/>
    </row>
    <row r="197" spans="3:7" x14ac:dyDescent="0.25">
      <c r="C197" s="24"/>
      <c r="D197" s="24"/>
      <c r="E197" s="24"/>
      <c r="F197" s="24"/>
      <c r="G197" s="24"/>
    </row>
    <row r="198" spans="3:7" x14ac:dyDescent="0.25">
      <c r="C198" s="24"/>
      <c r="D198" s="24"/>
      <c r="E198" s="24"/>
      <c r="F198" s="24"/>
      <c r="G198" s="24"/>
    </row>
    <row r="199" spans="3:7" x14ac:dyDescent="0.25">
      <c r="C199" s="24"/>
      <c r="D199" s="24"/>
      <c r="E199" s="24"/>
      <c r="F199" s="24"/>
      <c r="G199" s="24"/>
    </row>
    <row r="200" spans="3:7" x14ac:dyDescent="0.25">
      <c r="C200" s="24"/>
      <c r="D200" s="24"/>
      <c r="E200" s="24"/>
      <c r="F200" s="24"/>
      <c r="G200" s="24"/>
    </row>
    <row r="201" spans="3:7" x14ac:dyDescent="0.25">
      <c r="C201" s="24"/>
      <c r="D201" s="24"/>
      <c r="E201" s="24"/>
      <c r="F201" s="24"/>
      <c r="G201" s="24"/>
    </row>
    <row r="202" spans="3:7" x14ac:dyDescent="0.25">
      <c r="C202" s="24"/>
      <c r="D202" s="24"/>
      <c r="E202" s="24"/>
      <c r="F202" s="24"/>
      <c r="G202" s="24"/>
    </row>
    <row r="203" spans="3:7" x14ac:dyDescent="0.25">
      <c r="C203" s="24"/>
      <c r="D203" s="24"/>
      <c r="E203" s="24"/>
      <c r="F203" s="24"/>
      <c r="G203" s="24"/>
    </row>
    <row r="204" spans="3:7" x14ac:dyDescent="0.25">
      <c r="C204" s="24"/>
      <c r="D204" s="24"/>
      <c r="E204" s="24"/>
      <c r="F204" s="24"/>
      <c r="G204" s="24"/>
    </row>
    <row r="205" spans="3:7" x14ac:dyDescent="0.25">
      <c r="C205" s="24"/>
      <c r="D205" s="24"/>
      <c r="E205" s="24"/>
      <c r="F205" s="24"/>
      <c r="G205" s="24"/>
    </row>
    <row r="206" spans="3:7" x14ac:dyDescent="0.25">
      <c r="C206" s="24"/>
      <c r="D206" s="24"/>
      <c r="E206" s="24"/>
      <c r="F206" s="24"/>
      <c r="G206" s="24"/>
    </row>
    <row r="207" spans="3:7" x14ac:dyDescent="0.25">
      <c r="C207" s="24"/>
      <c r="D207" s="24"/>
      <c r="E207" s="24"/>
      <c r="F207" s="24"/>
      <c r="G207" s="24"/>
    </row>
    <row r="208" spans="3:7" x14ac:dyDescent="0.25">
      <c r="C208" s="24"/>
      <c r="D208" s="24"/>
      <c r="E208" s="24"/>
      <c r="F208" s="24"/>
      <c r="G208" s="24"/>
    </row>
    <row r="209" spans="3:7" x14ac:dyDescent="0.25">
      <c r="C209" s="24"/>
      <c r="D209" s="24"/>
      <c r="E209" s="24"/>
      <c r="F209" s="24"/>
      <c r="G209" s="24"/>
    </row>
    <row r="210" spans="3:7" x14ac:dyDescent="0.25">
      <c r="C210" s="24"/>
      <c r="D210" s="24"/>
      <c r="E210" s="24"/>
      <c r="F210" s="24"/>
      <c r="G210" s="24"/>
    </row>
    <row r="211" spans="3:7" x14ac:dyDescent="0.25">
      <c r="C211" s="24"/>
      <c r="D211" s="24"/>
      <c r="E211" s="24"/>
      <c r="F211" s="24"/>
      <c r="G211" s="24"/>
    </row>
    <row r="212" spans="3:7" x14ac:dyDescent="0.25">
      <c r="C212" s="24"/>
      <c r="D212" s="24"/>
      <c r="E212" s="24"/>
      <c r="F212" s="24"/>
      <c r="G212" s="24"/>
    </row>
    <row r="213" spans="3:7" x14ac:dyDescent="0.25">
      <c r="C213" s="24"/>
      <c r="D213" s="24"/>
      <c r="E213" s="24"/>
      <c r="F213" s="24"/>
      <c r="G213" s="24"/>
    </row>
    <row r="214" spans="3:7" x14ac:dyDescent="0.25">
      <c r="C214" s="24"/>
      <c r="D214" s="24"/>
      <c r="E214" s="24"/>
      <c r="F214" s="24"/>
      <c r="G214" s="24"/>
    </row>
    <row r="215" spans="3:7" x14ac:dyDescent="0.25">
      <c r="C215" s="24"/>
      <c r="D215" s="24"/>
      <c r="E215" s="24"/>
      <c r="F215" s="24"/>
      <c r="G215" s="24"/>
    </row>
    <row r="216" spans="3:7" x14ac:dyDescent="0.25">
      <c r="C216" s="24"/>
      <c r="D216" s="24"/>
      <c r="E216" s="24"/>
      <c r="F216" s="24"/>
      <c r="G216" s="24"/>
    </row>
    <row r="217" spans="3:7" x14ac:dyDescent="0.25">
      <c r="C217" s="24"/>
      <c r="D217" s="24"/>
      <c r="E217" s="24"/>
      <c r="F217" s="24"/>
      <c r="G217" s="24"/>
    </row>
    <row r="218" spans="3:7" x14ac:dyDescent="0.25">
      <c r="C218" s="24"/>
      <c r="D218" s="24"/>
      <c r="E218" s="24"/>
      <c r="F218" s="24"/>
      <c r="G218" s="24"/>
    </row>
    <row r="219" spans="3:7" x14ac:dyDescent="0.25">
      <c r="C219" s="24"/>
      <c r="D219" s="24"/>
      <c r="E219" s="24"/>
      <c r="F219" s="24"/>
      <c r="G219" s="24"/>
    </row>
    <row r="220" spans="3:7" x14ac:dyDescent="0.25">
      <c r="C220" s="24"/>
      <c r="D220" s="24"/>
      <c r="E220" s="24"/>
      <c r="F220" s="24"/>
      <c r="G220" s="24"/>
    </row>
    <row r="221" spans="3:7" x14ac:dyDescent="0.25">
      <c r="C221" s="24"/>
      <c r="D221" s="24"/>
      <c r="E221" s="24"/>
      <c r="F221" s="24"/>
      <c r="G221" s="24"/>
    </row>
    <row r="222" spans="3:7" x14ac:dyDescent="0.25">
      <c r="C222" s="24"/>
      <c r="D222" s="24"/>
      <c r="E222" s="24"/>
      <c r="F222" s="24"/>
      <c r="G222" s="24"/>
    </row>
    <row r="223" spans="3:7" x14ac:dyDescent="0.25">
      <c r="C223" s="24"/>
      <c r="D223" s="24"/>
      <c r="E223" s="24"/>
      <c r="F223" s="24"/>
      <c r="G223" s="24"/>
    </row>
    <row r="224" spans="3:7" x14ac:dyDescent="0.25">
      <c r="C224" s="24"/>
      <c r="D224" s="24"/>
      <c r="E224" s="24"/>
      <c r="F224" s="24"/>
      <c r="G224" s="24"/>
    </row>
    <row r="225" spans="3:7" x14ac:dyDescent="0.25">
      <c r="C225" s="24"/>
      <c r="D225" s="24"/>
      <c r="E225" s="24"/>
      <c r="F225" s="24"/>
      <c r="G225" s="24"/>
    </row>
    <row r="226" spans="3:7" x14ac:dyDescent="0.25">
      <c r="C226" s="24"/>
      <c r="D226" s="24"/>
      <c r="E226" s="24"/>
      <c r="F226" s="24"/>
      <c r="G226" s="24"/>
    </row>
    <row r="227" spans="3:7" x14ac:dyDescent="0.25">
      <c r="C227" s="24"/>
      <c r="D227" s="24"/>
      <c r="E227" s="24"/>
      <c r="F227" s="24"/>
      <c r="G227" s="24"/>
    </row>
    <row r="228" spans="3:7" x14ac:dyDescent="0.25">
      <c r="C228" s="24"/>
      <c r="D228" s="24"/>
      <c r="E228" s="24"/>
      <c r="F228" s="24"/>
      <c r="G228" s="24"/>
    </row>
    <row r="229" spans="3:7" x14ac:dyDescent="0.25">
      <c r="C229" s="24"/>
      <c r="D229" s="24"/>
      <c r="E229" s="24"/>
      <c r="F229" s="24"/>
      <c r="G229" s="24"/>
    </row>
    <row r="230" spans="3:7" x14ac:dyDescent="0.25">
      <c r="C230" s="24"/>
      <c r="D230" s="24"/>
      <c r="E230" s="24"/>
      <c r="F230" s="24"/>
      <c r="G230" s="24"/>
    </row>
    <row r="231" spans="3:7" x14ac:dyDescent="0.25">
      <c r="C231" s="24"/>
      <c r="D231" s="24"/>
      <c r="E231" s="24"/>
      <c r="F231" s="24"/>
      <c r="G231" s="24"/>
    </row>
    <row r="232" spans="3:7" x14ac:dyDescent="0.25">
      <c r="C232" s="24"/>
      <c r="D232" s="24"/>
      <c r="E232" s="24"/>
      <c r="F232" s="24"/>
      <c r="G232" s="24"/>
    </row>
    <row r="233" spans="3:7" x14ac:dyDescent="0.25">
      <c r="C233" s="24"/>
      <c r="D233" s="24"/>
      <c r="E233" s="24"/>
      <c r="F233" s="24"/>
      <c r="G233" s="24"/>
    </row>
    <row r="234" spans="3:7" x14ac:dyDescent="0.25">
      <c r="C234" s="24"/>
      <c r="D234" s="24"/>
      <c r="E234" s="24"/>
      <c r="F234" s="24"/>
      <c r="G234" s="24"/>
    </row>
  </sheetData>
  <autoFilter ref="A2:K108"/>
  <conditionalFormatting sqref="K79:K80 K102 K41:K42 K16 K20 K35:K36 K50:K61 K47 K30:K32 K44:K45 K73:K74 K85:K88 K97:K98 K3:K13 K100 K38:K39">
    <cfRule type="cellIs" dxfId="40" priority="81" operator="lessThan">
      <formula>0</formula>
    </cfRule>
  </conditionalFormatting>
  <conditionalFormatting sqref="K75:K76">
    <cfRule type="cellIs" dxfId="39" priority="80" operator="lessThan">
      <formula>0</formula>
    </cfRule>
  </conditionalFormatting>
  <conditionalFormatting sqref="K77:K78">
    <cfRule type="cellIs" dxfId="38" priority="79" operator="lessThan">
      <formula>0</formula>
    </cfRule>
  </conditionalFormatting>
  <conditionalFormatting sqref="K81:K82">
    <cfRule type="cellIs" dxfId="37" priority="78" operator="lessThan">
      <formula>0</formula>
    </cfRule>
  </conditionalFormatting>
  <conditionalFormatting sqref="K83:K84">
    <cfRule type="cellIs" dxfId="36" priority="77" operator="lessThan">
      <formula>0</formula>
    </cfRule>
  </conditionalFormatting>
  <conditionalFormatting sqref="K101">
    <cfRule type="cellIs" dxfId="35" priority="71" operator="lessThan">
      <formula>0</formula>
    </cfRule>
  </conditionalFormatting>
  <conditionalFormatting sqref="K15">
    <cfRule type="cellIs" dxfId="34" priority="62" operator="lessThan">
      <formula>0</formula>
    </cfRule>
  </conditionalFormatting>
  <conditionalFormatting sqref="K14">
    <cfRule type="cellIs" dxfId="33" priority="61" operator="lessThan">
      <formula>0</formula>
    </cfRule>
  </conditionalFormatting>
  <conditionalFormatting sqref="K33">
    <cfRule type="cellIs" dxfId="32" priority="59" operator="lessThan">
      <formula>0</formula>
    </cfRule>
  </conditionalFormatting>
  <conditionalFormatting sqref="K19">
    <cfRule type="cellIs" dxfId="31" priority="57" operator="lessThan">
      <formula>0</formula>
    </cfRule>
  </conditionalFormatting>
  <conditionalFormatting sqref="K46">
    <cfRule type="cellIs" dxfId="30" priority="55" operator="lessThan">
      <formula>0</formula>
    </cfRule>
  </conditionalFormatting>
  <conditionalFormatting sqref="K22">
    <cfRule type="cellIs" dxfId="29" priority="48" operator="lessThan">
      <formula>0</formula>
    </cfRule>
  </conditionalFormatting>
  <conditionalFormatting sqref="K34">
    <cfRule type="cellIs" dxfId="28" priority="47" operator="lessThan">
      <formula>0</formula>
    </cfRule>
  </conditionalFormatting>
  <conditionalFormatting sqref="K48">
    <cfRule type="cellIs" dxfId="27" priority="44" operator="lessThan">
      <formula>0</formula>
    </cfRule>
  </conditionalFormatting>
  <conditionalFormatting sqref="K23">
    <cfRule type="cellIs" dxfId="26" priority="43" operator="lessThan">
      <formula>0</formula>
    </cfRule>
  </conditionalFormatting>
  <conditionalFormatting sqref="K24">
    <cfRule type="cellIs" dxfId="25" priority="42" operator="lessThan">
      <formula>0</formula>
    </cfRule>
  </conditionalFormatting>
  <conditionalFormatting sqref="K43">
    <cfRule type="cellIs" dxfId="24" priority="40" operator="lessThan">
      <formula>0</formula>
    </cfRule>
  </conditionalFormatting>
  <conditionalFormatting sqref="K105:K106">
    <cfRule type="cellIs" dxfId="23" priority="39" operator="lessThan">
      <formula>0</formula>
    </cfRule>
  </conditionalFormatting>
  <conditionalFormatting sqref="K62:K63">
    <cfRule type="cellIs" dxfId="22" priority="38" operator="lessThan">
      <formula>0</formula>
    </cfRule>
  </conditionalFormatting>
  <conditionalFormatting sqref="K66:K68">
    <cfRule type="cellIs" dxfId="21" priority="37" operator="lessThan">
      <formula>0</formula>
    </cfRule>
  </conditionalFormatting>
  <conditionalFormatting sqref="K69:K70">
    <cfRule type="cellIs" dxfId="20" priority="36" operator="lessThan">
      <formula>0</formula>
    </cfRule>
  </conditionalFormatting>
  <conditionalFormatting sqref="K71:K72">
    <cfRule type="cellIs" dxfId="19" priority="35" operator="lessThan">
      <formula>0</formula>
    </cfRule>
  </conditionalFormatting>
  <conditionalFormatting sqref="K89">
    <cfRule type="cellIs" dxfId="18" priority="34" operator="lessThan">
      <formula>0</formula>
    </cfRule>
  </conditionalFormatting>
  <conditionalFormatting sqref="K90:K92">
    <cfRule type="cellIs" dxfId="17" priority="33" operator="lessThan">
      <formula>0</formula>
    </cfRule>
  </conditionalFormatting>
  <conditionalFormatting sqref="K93:K94">
    <cfRule type="cellIs" dxfId="16" priority="32" operator="lessThan">
      <formula>0</formula>
    </cfRule>
  </conditionalFormatting>
  <conditionalFormatting sqref="K104">
    <cfRule type="cellIs" dxfId="15" priority="29" operator="lessThan">
      <formula>0</formula>
    </cfRule>
  </conditionalFormatting>
  <conditionalFormatting sqref="K103">
    <cfRule type="cellIs" dxfId="14" priority="28" operator="lessThan">
      <formula>0</formula>
    </cfRule>
  </conditionalFormatting>
  <conditionalFormatting sqref="K95:K96">
    <cfRule type="cellIs" dxfId="13" priority="26" operator="lessThan">
      <formula>0</formula>
    </cfRule>
  </conditionalFormatting>
  <conditionalFormatting sqref="K99">
    <cfRule type="cellIs" dxfId="12" priority="15" operator="lessThan">
      <formula>0</formula>
    </cfRule>
  </conditionalFormatting>
  <conditionalFormatting sqref="K17">
    <cfRule type="cellIs" dxfId="11" priority="12" operator="lessThan">
      <formula>0</formula>
    </cfRule>
  </conditionalFormatting>
  <conditionalFormatting sqref="K37">
    <cfRule type="cellIs" dxfId="10" priority="11" operator="lessThan">
      <formula>0</formula>
    </cfRule>
  </conditionalFormatting>
  <conditionalFormatting sqref="K40">
    <cfRule type="cellIs" dxfId="9" priority="10" operator="lessThan">
      <formula>0</formula>
    </cfRule>
  </conditionalFormatting>
  <conditionalFormatting sqref="K18">
    <cfRule type="cellIs" dxfId="8" priority="9" operator="lessThan">
      <formula>0</formula>
    </cfRule>
  </conditionalFormatting>
  <conditionalFormatting sqref="K21">
    <cfRule type="cellIs" dxfId="7" priority="8" operator="lessThan">
      <formula>0</formula>
    </cfRule>
  </conditionalFormatting>
  <conditionalFormatting sqref="K49">
    <cfRule type="cellIs" dxfId="6" priority="7" operator="lessThan">
      <formula>0</formula>
    </cfRule>
  </conditionalFormatting>
  <conditionalFormatting sqref="K25">
    <cfRule type="cellIs" dxfId="5" priority="6" operator="lessThan">
      <formula>0</formula>
    </cfRule>
  </conditionalFormatting>
  <conditionalFormatting sqref="K28">
    <cfRule type="cellIs" dxfId="4" priority="5" operator="lessThan">
      <formula>0</formula>
    </cfRule>
  </conditionalFormatting>
  <conditionalFormatting sqref="K26">
    <cfRule type="cellIs" dxfId="3" priority="4" operator="lessThan">
      <formula>0</formula>
    </cfRule>
  </conditionalFormatting>
  <conditionalFormatting sqref="K27">
    <cfRule type="cellIs" dxfId="2" priority="3" operator="lessThan">
      <formula>0</formula>
    </cfRule>
  </conditionalFormatting>
  <conditionalFormatting sqref="K29">
    <cfRule type="cellIs" dxfId="1" priority="2" operator="lessThan">
      <formula>0</formula>
    </cfRule>
  </conditionalFormatting>
  <conditionalFormatting sqref="K64:K65">
    <cfRule type="cellIs" dxfId="0" priority="1" operator="lessThan">
      <formula>0</formula>
    </cfRule>
  </conditionalFormatting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шк3</vt:lpstr>
      <vt:lpstr>шк3!Область_печати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Anna</cp:lastModifiedBy>
  <cp:lastPrinted>2023-09-29T04:06:01Z</cp:lastPrinted>
  <dcterms:created xsi:type="dcterms:W3CDTF">2019-11-13T10:33:25Z</dcterms:created>
  <dcterms:modified xsi:type="dcterms:W3CDTF">2024-01-23T11:52:03Z</dcterms:modified>
</cp:coreProperties>
</file>